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Admin\Документы\тесты\личко\"/>
    </mc:Choice>
  </mc:AlternateContent>
  <xr:revisionPtr revIDLastSave="0" documentId="13_ncr:1_{1B97BE9B-BF65-476B-8302-A997CCAE963F}" xr6:coauthVersionLast="36" xr6:coauthVersionMax="36" xr10:uidLastSave="{00000000-0000-0000-0000-000000000000}"/>
  <bookViews>
    <workbookView xWindow="0" yWindow="0" windowWidth="20610" windowHeight="11640" xr2:uid="{00000000-000D-0000-FFFF-FFFF00000000}"/>
  </bookViews>
  <sheets>
    <sheet name="ответы" sheetId="3" r:id="rId1"/>
    <sheet name="правила 0-8" sheetId="6" r:id="rId2"/>
    <sheet name="типы" sheetId="2" r:id="rId3"/>
    <sheet name="Отчет" sheetId="7" r:id="rId4"/>
    <sheet name="диагр" sheetId="4" r:id="rId5"/>
    <sheet name="правила" sheetId="5" state="hidden" r:id="rId6"/>
  </sheets>
  <calcPr calcId="191029"/>
</workbook>
</file>

<file path=xl/calcChain.xml><?xml version="1.0" encoding="utf-8"?>
<calcChain xmlns="http://schemas.openxmlformats.org/spreadsheetml/2006/main">
  <c r="R5" i="3" l="1"/>
  <c r="M29" i="3" l="1"/>
  <c r="N29" i="3"/>
  <c r="O29" i="3"/>
  <c r="P29" i="3"/>
  <c r="Q29" i="3"/>
  <c r="R29" i="3"/>
  <c r="R28" i="3"/>
  <c r="Q28" i="3"/>
  <c r="P28" i="3"/>
  <c r="O28" i="3"/>
  <c r="N28" i="3"/>
  <c r="M28" i="3"/>
  <c r="R27" i="3"/>
  <c r="Q27" i="3"/>
  <c r="P27" i="3"/>
  <c r="O27" i="3"/>
  <c r="N27" i="3"/>
  <c r="M27" i="3"/>
  <c r="R26" i="3"/>
  <c r="Q26" i="3"/>
  <c r="P26" i="3"/>
  <c r="R25" i="3"/>
  <c r="Q25" i="3"/>
  <c r="P25" i="3"/>
  <c r="R23" i="3"/>
  <c r="Q23" i="3"/>
  <c r="P23" i="3"/>
  <c r="O23" i="3"/>
  <c r="N23" i="3"/>
  <c r="M23" i="3"/>
  <c r="R22" i="3"/>
  <c r="Q22" i="3"/>
  <c r="P22" i="3"/>
  <c r="O22" i="3"/>
  <c r="N22" i="3"/>
  <c r="M22" i="3"/>
  <c r="R21" i="3"/>
  <c r="Q21" i="3"/>
  <c r="P21" i="3"/>
  <c r="O21" i="3"/>
  <c r="N21" i="3"/>
  <c r="M21" i="3"/>
  <c r="R20" i="3"/>
  <c r="Q20" i="3"/>
  <c r="P20" i="3"/>
  <c r="O20" i="3"/>
  <c r="N20" i="3"/>
  <c r="M20" i="3"/>
  <c r="R19" i="3"/>
  <c r="Q19" i="3"/>
  <c r="P19" i="3"/>
  <c r="O19" i="3"/>
  <c r="N19" i="3"/>
  <c r="M19" i="3"/>
  <c r="R18" i="3"/>
  <c r="Q18" i="3"/>
  <c r="P18" i="3"/>
  <c r="O18" i="3"/>
  <c r="N18" i="3"/>
  <c r="M18" i="3"/>
  <c r="R17" i="3"/>
  <c r="Q17" i="3"/>
  <c r="P17" i="3"/>
  <c r="O17" i="3"/>
  <c r="N17" i="3"/>
  <c r="M17" i="3"/>
  <c r="R16" i="3"/>
  <c r="Q16" i="3"/>
  <c r="P16" i="3"/>
  <c r="O16" i="3"/>
  <c r="N16" i="3"/>
  <c r="M16" i="3"/>
  <c r="R15" i="3"/>
  <c r="Q15" i="3"/>
  <c r="P15" i="3"/>
  <c r="O15" i="3"/>
  <c r="N15" i="3"/>
  <c r="M15" i="3"/>
  <c r="R14" i="3"/>
  <c r="Q14" i="3"/>
  <c r="P14" i="3"/>
  <c r="R13" i="3"/>
  <c r="Q13" i="3"/>
  <c r="P13" i="3"/>
  <c r="O13" i="3"/>
  <c r="N13" i="3"/>
  <c r="M13" i="3"/>
  <c r="R12" i="3"/>
  <c r="Q12" i="3"/>
  <c r="P12" i="3"/>
  <c r="O12" i="3"/>
  <c r="N12" i="3"/>
  <c r="M12" i="3"/>
  <c r="R11" i="3"/>
  <c r="Q11" i="3"/>
  <c r="P11" i="3"/>
  <c r="O11" i="3"/>
  <c r="N11" i="3"/>
  <c r="M11" i="3"/>
  <c r="O10" i="3"/>
  <c r="N10" i="3"/>
  <c r="M10" i="3"/>
  <c r="R9" i="3"/>
  <c r="Q9" i="3"/>
  <c r="P9" i="3"/>
  <c r="O9" i="3"/>
  <c r="N9" i="3"/>
  <c r="M9" i="3"/>
  <c r="R8" i="3"/>
  <c r="Q8" i="3"/>
  <c r="P8" i="3"/>
  <c r="O8" i="3"/>
  <c r="N8" i="3"/>
  <c r="M8" i="3"/>
  <c r="R7" i="3"/>
  <c r="Q7" i="3"/>
  <c r="P7" i="3"/>
  <c r="O7" i="3"/>
  <c r="N7" i="3"/>
  <c r="M7" i="3"/>
  <c r="R6" i="3"/>
  <c r="Q6" i="3"/>
  <c r="P6" i="3"/>
  <c r="O6" i="3"/>
  <c r="N6" i="3"/>
  <c r="M6" i="3"/>
  <c r="Q5" i="3"/>
  <c r="P5" i="3"/>
  <c r="O5" i="3"/>
  <c r="N5" i="3"/>
  <c r="M5" i="3"/>
  <c r="G31" i="3"/>
  <c r="K2" i="7" s="1"/>
  <c r="O26" i="3" l="1"/>
  <c r="N26" i="3"/>
  <c r="M26" i="3"/>
  <c r="O25" i="3"/>
  <c r="N25" i="3"/>
  <c r="M25" i="3"/>
  <c r="R24" i="3"/>
  <c r="Q24" i="3"/>
  <c r="P24" i="3"/>
  <c r="O24" i="3"/>
  <c r="N24" i="3"/>
  <c r="M24" i="3"/>
  <c r="O14" i="3"/>
  <c r="N14" i="3"/>
  <c r="M14" i="3"/>
  <c r="R10" i="3"/>
  <c r="Q10" i="3"/>
  <c r="P10" i="3"/>
  <c r="U5" i="3"/>
  <c r="F200" i="3" l="1"/>
  <c r="G200" i="3" s="1"/>
  <c r="D148" i="3" l="1"/>
  <c r="C178" i="3"/>
  <c r="C177" i="3"/>
  <c r="C176" i="3"/>
  <c r="C174" i="3"/>
  <c r="C173" i="3"/>
  <c r="C172" i="3"/>
  <c r="C171" i="3"/>
  <c r="C170" i="3"/>
  <c r="C169" i="3"/>
  <c r="C168" i="3"/>
  <c r="C167" i="3"/>
  <c r="C166" i="3"/>
  <c r="C165" i="3"/>
  <c r="C158" i="3"/>
  <c r="C153" i="3"/>
  <c r="C152" i="3"/>
  <c r="C162" i="3"/>
  <c r="C161" i="3"/>
  <c r="C160" i="3"/>
  <c r="C159" i="3"/>
  <c r="C157" i="3"/>
  <c r="C156" i="3"/>
  <c r="C155" i="3"/>
  <c r="C154" i="3"/>
  <c r="D178" i="3" l="1"/>
  <c r="D162" i="3"/>
  <c r="E178" i="3" l="1"/>
  <c r="F178" i="3" s="1"/>
  <c r="C4" i="6"/>
  <c r="F148" i="3" l="1"/>
  <c r="G16" i="7" s="1"/>
  <c r="DR5" i="3"/>
  <c r="BV5" i="3"/>
  <c r="BV7" i="3" s="1"/>
  <c r="AL11" i="3" s="1"/>
  <c r="DH5" i="3"/>
  <c r="CI5" i="3"/>
  <c r="DL5" i="3"/>
  <c r="DI5" i="3"/>
  <c r="DQ5" i="3"/>
  <c r="CN5" i="3"/>
  <c r="DM5" i="3"/>
  <c r="CJ5" i="3"/>
  <c r="DJ5" i="3"/>
  <c r="CG5" i="3"/>
  <c r="DN5" i="3"/>
  <c r="CH5" i="3"/>
  <c r="DK5" i="3"/>
  <c r="CF5" i="3"/>
  <c r="V20" i="5"/>
  <c r="CH8" i="3" l="1"/>
  <c r="AK14" i="3" s="1"/>
  <c r="CH7" i="3"/>
  <c r="AB17" i="3" s="1"/>
  <c r="CG9" i="3"/>
  <c r="AL12" i="3" s="1"/>
  <c r="CG7" i="3"/>
  <c r="AE15" i="3" s="1"/>
  <c r="CG8" i="3"/>
  <c r="AK13" i="3" s="1"/>
  <c r="CJ9" i="3"/>
  <c r="AH10" i="3" s="1"/>
  <c r="CJ7" i="3"/>
  <c r="AC20" i="3" s="1"/>
  <c r="CJ8" i="3"/>
  <c r="AD14" i="3" s="1"/>
  <c r="CI8" i="3"/>
  <c r="AC19" i="3" s="1"/>
  <c r="CI7" i="3"/>
  <c r="AA14" i="3" s="1"/>
  <c r="DR10" i="3"/>
  <c r="AE16" i="3" s="1"/>
  <c r="DR7" i="3"/>
  <c r="V16" i="3" s="1"/>
  <c r="DR8" i="3"/>
  <c r="AC21" i="3" s="1"/>
  <c r="DR9" i="3"/>
  <c r="AD15" i="3" s="1"/>
  <c r="K58" i="5"/>
  <c r="N58" i="5" s="1"/>
  <c r="O58" i="5" s="1"/>
  <c r="J30" i="5" s="1"/>
  <c r="K57" i="5"/>
  <c r="N57" i="5" s="1"/>
  <c r="O57" i="5" s="1"/>
  <c r="J29" i="5" s="1"/>
  <c r="C37" i="3" l="1"/>
  <c r="M42" i="3" l="1"/>
  <c r="L42" i="3"/>
  <c r="K42" i="3"/>
  <c r="J42" i="3"/>
  <c r="I42" i="3"/>
  <c r="H42" i="3"/>
  <c r="G42" i="3"/>
  <c r="F42" i="3"/>
  <c r="E42" i="3"/>
  <c r="D42" i="3"/>
  <c r="C42" i="3"/>
  <c r="A43" i="3"/>
  <c r="A42" i="3"/>
  <c r="A41" i="3"/>
  <c r="U40" i="3"/>
  <c r="T40" i="3"/>
  <c r="S40" i="3"/>
  <c r="R40" i="3"/>
  <c r="Q40" i="3"/>
  <c r="P40" i="3"/>
  <c r="O40" i="3"/>
  <c r="N40" i="3"/>
  <c r="M40" i="3"/>
  <c r="L40" i="3"/>
  <c r="K40" i="3"/>
  <c r="J40" i="3"/>
  <c r="I40" i="3"/>
  <c r="H40" i="3"/>
  <c r="G40" i="3"/>
  <c r="F40" i="3"/>
  <c r="E40" i="3"/>
  <c r="D40" i="3"/>
  <c r="C40" i="3"/>
  <c r="B40" i="3"/>
  <c r="AK26" i="3" l="1"/>
  <c r="AL26" i="3"/>
  <c r="AM26" i="3"/>
  <c r="U4" i="6" s="1"/>
  <c r="AN26" i="3"/>
  <c r="V4" i="6" s="1"/>
  <c r="Y26" i="3"/>
  <c r="AF26" i="3"/>
  <c r="N4" i="6" s="1"/>
  <c r="AG26" i="3"/>
  <c r="O4" i="6" s="1"/>
  <c r="AH26" i="3"/>
  <c r="AI26" i="3"/>
  <c r="Q4" i="6" s="1"/>
  <c r="AJ26" i="3"/>
  <c r="V26" i="3"/>
  <c r="G90" i="3" l="1"/>
  <c r="G4" i="6"/>
  <c r="G67" i="3"/>
  <c r="D4" i="6"/>
  <c r="G97" i="3"/>
  <c r="R4" i="6"/>
  <c r="G83" i="3"/>
  <c r="T4" i="6"/>
  <c r="G79" i="3"/>
  <c r="S4" i="6"/>
  <c r="G70" i="3"/>
  <c r="P4" i="6"/>
  <c r="G89" i="3"/>
  <c r="G75" i="3"/>
  <c r="G88" i="3"/>
  <c r="G71" i="3"/>
  <c r="G94" i="3"/>
  <c r="G80" i="3"/>
  <c r="X20" i="5" l="1"/>
  <c r="G41" i="4"/>
  <c r="F43" i="3" s="1"/>
  <c r="N41" i="4"/>
  <c r="M43" i="3" s="1"/>
  <c r="Z18" i="5" l="1"/>
  <c r="DP5" i="3" l="1"/>
  <c r="DP15" i="3" s="1"/>
  <c r="DP16" i="3" s="1"/>
  <c r="DG5" i="3"/>
  <c r="CY5" i="3"/>
  <c r="CQ5" i="3"/>
  <c r="DA5" i="3"/>
  <c r="CR5" i="3"/>
  <c r="DF5" i="3"/>
  <c r="CX5" i="3"/>
  <c r="CP5" i="3"/>
  <c r="DB5" i="3"/>
  <c r="CS5" i="3"/>
  <c r="DN15" i="3"/>
  <c r="DN17" i="3" s="1"/>
  <c r="DE5" i="3"/>
  <c r="CW5" i="3"/>
  <c r="CO5" i="3"/>
  <c r="CO7" i="3" s="1"/>
  <c r="AI8" i="3" s="1"/>
  <c r="CT5" i="3"/>
  <c r="CK5" i="3"/>
  <c r="DO5" i="3"/>
  <c r="DO15" i="3" s="1"/>
  <c r="DO16" i="3" s="1"/>
  <c r="DD5" i="3"/>
  <c r="CV5" i="3"/>
  <c r="CZ5" i="3"/>
  <c r="DC5" i="3"/>
  <c r="CU5" i="3"/>
  <c r="CM5" i="3"/>
  <c r="CL5" i="3"/>
  <c r="U23" i="3"/>
  <c r="BZ5" i="3"/>
  <c r="BR5" i="3"/>
  <c r="BJ5" i="3"/>
  <c r="BB5" i="3"/>
  <c r="AX5" i="3"/>
  <c r="AX6" i="3" s="1"/>
  <c r="AM6" i="3" s="1"/>
  <c r="BA5" i="3"/>
  <c r="CB5" i="3"/>
  <c r="CA5" i="3"/>
  <c r="BC5" i="3"/>
  <c r="V5" i="3"/>
  <c r="BY5" i="3"/>
  <c r="BQ5" i="3"/>
  <c r="BI5" i="3"/>
  <c r="BE5" i="3"/>
  <c r="BD5" i="3"/>
  <c r="BX5" i="3"/>
  <c r="BP5" i="3"/>
  <c r="BH5" i="3"/>
  <c r="BM5" i="3"/>
  <c r="BL5" i="3"/>
  <c r="BK5" i="3"/>
  <c r="CE5" i="3"/>
  <c r="BW5" i="3"/>
  <c r="BO5" i="3"/>
  <c r="BG5" i="3"/>
  <c r="AZ5" i="3"/>
  <c r="BT5" i="3"/>
  <c r="BS5" i="3"/>
  <c r="CD5" i="3"/>
  <c r="BN5" i="3"/>
  <c r="BF5" i="3"/>
  <c r="AY5" i="3"/>
  <c r="CC5" i="3"/>
  <c r="BU5" i="3"/>
  <c r="AW5" i="3"/>
  <c r="AW6" i="3" s="1"/>
  <c r="V6" i="3" s="1"/>
  <c r="AO5" i="3"/>
  <c r="AO6" i="3" s="1"/>
  <c r="Y6" i="3" s="1"/>
  <c r="AN5" i="3"/>
  <c r="AV5" i="3"/>
  <c r="AV6" i="3" s="1"/>
  <c r="AI6" i="3" s="1"/>
  <c r="AG5" i="3"/>
  <c r="AU5" i="3"/>
  <c r="AU6" i="3" s="1"/>
  <c r="AB6" i="3" s="1"/>
  <c r="AT5" i="3"/>
  <c r="AT6" i="3" s="1"/>
  <c r="AA6" i="3" s="1"/>
  <c r="AS5" i="3"/>
  <c r="AS6" i="3" s="1"/>
  <c r="AC6" i="3" s="1"/>
  <c r="AR5" i="3"/>
  <c r="AR6" i="3" s="1"/>
  <c r="Z6" i="3" s="1"/>
  <c r="AQ5" i="3"/>
  <c r="AQ6" i="3" s="1"/>
  <c r="AE6" i="3" s="1"/>
  <c r="AP5" i="3"/>
  <c r="AP6" i="3" s="1"/>
  <c r="AD6" i="3" s="1"/>
  <c r="AM5" i="3"/>
  <c r="AD5" i="3"/>
  <c r="AB5" i="3"/>
  <c r="AA5" i="3"/>
  <c r="AH5" i="3"/>
  <c r="AL5" i="3"/>
  <c r="X5" i="3"/>
  <c r="W5" i="3"/>
  <c r="AK5" i="3"/>
  <c r="AC5" i="3"/>
  <c r="AJ5" i="3"/>
  <c r="AI5" i="3"/>
  <c r="Z5" i="3"/>
  <c r="Y5" i="3"/>
  <c r="AF5" i="3"/>
  <c r="AE5" i="3"/>
  <c r="C33" i="3" l="1"/>
  <c r="C3" i="6"/>
  <c r="DJ8" i="3"/>
  <c r="X21" i="3" s="1"/>
  <c r="DJ7" i="3"/>
  <c r="W11" i="3" s="1"/>
  <c r="DJ15" i="3"/>
  <c r="DJ16" i="3" s="1"/>
  <c r="DI15" i="3"/>
  <c r="DI16" i="3" s="1"/>
  <c r="DI7" i="3"/>
  <c r="V15" i="3" s="1"/>
  <c r="DK15" i="3"/>
  <c r="DK16" i="3" s="1"/>
  <c r="DK7" i="3"/>
  <c r="AM14" i="3" s="1"/>
  <c r="DL15" i="3"/>
  <c r="DL17" i="3" s="1"/>
  <c r="DL7" i="3"/>
  <c r="Z15" i="3" s="1"/>
  <c r="DM15" i="3"/>
  <c r="DM17" i="3" s="1"/>
  <c r="DM7" i="3"/>
  <c r="Z16" i="3" s="1"/>
  <c r="DH15" i="3"/>
  <c r="DH17" i="3" s="1"/>
  <c r="DH8" i="3"/>
  <c r="AA13" i="3" s="1"/>
  <c r="DH9" i="3"/>
  <c r="AB16" i="3" s="1"/>
  <c r="DH7" i="3"/>
  <c r="Z14" i="3" s="1"/>
  <c r="DQ8" i="3"/>
  <c r="AL10" i="3" s="1"/>
  <c r="DQ7" i="3"/>
  <c r="W12" i="3" s="1"/>
  <c r="C39" i="4"/>
  <c r="B41" i="3" s="1"/>
  <c r="B5" i="5"/>
  <c r="CL8" i="3"/>
  <c r="AH8" i="3" s="1"/>
  <c r="CL7" i="3"/>
  <c r="AE10" i="3" s="1"/>
  <c r="DD8" i="3"/>
  <c r="AN10" i="3" s="1"/>
  <c r="DD7" i="3"/>
  <c r="AK11" i="3" s="1"/>
  <c r="CF8" i="3"/>
  <c r="AG8" i="3" s="1"/>
  <c r="CF7" i="3"/>
  <c r="Y12" i="3" s="1"/>
  <c r="DA7" i="3"/>
  <c r="V13" i="3" s="1"/>
  <c r="DA9" i="3"/>
  <c r="AM13" i="3" s="1"/>
  <c r="DA8" i="3"/>
  <c r="AE14" i="3" s="1"/>
  <c r="DC8" i="3"/>
  <c r="AL9" i="3" s="1"/>
  <c r="DC7" i="3"/>
  <c r="AB13" i="3" s="1"/>
  <c r="CT7" i="3"/>
  <c r="AC14" i="3" s="1"/>
  <c r="CT9" i="3"/>
  <c r="AJ10" i="3" s="1"/>
  <c r="CT8" i="3"/>
  <c r="AD12" i="3" s="1"/>
  <c r="CP9" i="3"/>
  <c r="AH9" i="3" s="1"/>
  <c r="CP8" i="3"/>
  <c r="AE11" i="3" s="1"/>
  <c r="CP7" i="3"/>
  <c r="AC12" i="3" s="1"/>
  <c r="CY7" i="3"/>
  <c r="V12" i="3" s="1"/>
  <c r="CY8" i="3"/>
  <c r="AK10" i="3" s="1"/>
  <c r="CM7" i="3"/>
  <c r="X18" i="3" s="1"/>
  <c r="CM8" i="3"/>
  <c r="AA7" i="3" s="1"/>
  <c r="CU7" i="3"/>
  <c r="AC15" i="3" s="1"/>
  <c r="CU8" i="3"/>
  <c r="AL8" i="3" s="1"/>
  <c r="CX9" i="3"/>
  <c r="AM12" i="3" s="1"/>
  <c r="CX8" i="3"/>
  <c r="AA9" i="3" s="1"/>
  <c r="CX7" i="3"/>
  <c r="W10" i="3" s="1"/>
  <c r="DG9" i="3"/>
  <c r="AN11" i="3" s="1"/>
  <c r="DG7" i="3"/>
  <c r="CN9" i="3"/>
  <c r="AM11" i="3" s="1"/>
  <c r="CN8" i="3"/>
  <c r="AC11" i="3" s="1"/>
  <c r="CN7" i="3"/>
  <c r="W9" i="3" s="1"/>
  <c r="CQ8" i="3"/>
  <c r="AJ9" i="3" s="1"/>
  <c r="CQ7" i="3"/>
  <c r="X19" i="3" s="1"/>
  <c r="CZ8" i="3"/>
  <c r="AE13" i="3" s="1"/>
  <c r="CZ7" i="3"/>
  <c r="AC16" i="3" s="1"/>
  <c r="CW8" i="3"/>
  <c r="AB12" i="3" s="1"/>
  <c r="CW7" i="3"/>
  <c r="Z12" i="3" s="1"/>
  <c r="DF9" i="3"/>
  <c r="AB15" i="3" s="1"/>
  <c r="DF8" i="3"/>
  <c r="AA12" i="3" s="1"/>
  <c r="DF7" i="3"/>
  <c r="Z13" i="3" s="1"/>
  <c r="CK7" i="3"/>
  <c r="V10" i="3" s="1"/>
  <c r="CK8" i="3"/>
  <c r="AM10" i="3" s="1"/>
  <c r="DE8" i="3"/>
  <c r="AB14" i="3" s="1"/>
  <c r="DE7" i="3"/>
  <c r="AA11" i="3" s="1"/>
  <c r="DE9" i="3"/>
  <c r="AC18" i="3" s="1"/>
  <c r="CS9" i="3"/>
  <c r="AE12" i="3" s="1"/>
  <c r="CS8" i="3"/>
  <c r="AC13" i="3" s="1"/>
  <c r="CS7" i="3"/>
  <c r="V11" i="3" s="1"/>
  <c r="DB8" i="3"/>
  <c r="X20" i="3" s="1"/>
  <c r="DB7" i="3"/>
  <c r="V14" i="3" s="1"/>
  <c r="DB9" i="3"/>
  <c r="AA10" i="3" s="1"/>
  <c r="DB10" i="3"/>
  <c r="AC17" i="3" s="1"/>
  <c r="CV8" i="3"/>
  <c r="AJ11" i="3" s="1"/>
  <c r="CV7" i="3"/>
  <c r="AA8" i="3" s="1"/>
  <c r="CR8" i="3"/>
  <c r="AN9" i="3" s="1"/>
  <c r="CR7" i="3"/>
  <c r="AK9" i="3" s="1"/>
  <c r="BN8" i="3"/>
  <c r="AJ7" i="3" s="1"/>
  <c r="BN7" i="3"/>
  <c r="Y11" i="3" s="1"/>
  <c r="BE7" i="3"/>
  <c r="Z8" i="3" s="1"/>
  <c r="BE8" i="3"/>
  <c r="X8" i="3" s="1"/>
  <c r="BI7" i="3"/>
  <c r="V8" i="3" s="1"/>
  <c r="BI8" i="3"/>
  <c r="X11" i="3" s="1"/>
  <c r="BS7" i="3"/>
  <c r="AD9" i="3" s="1"/>
  <c r="BS8" i="3"/>
  <c r="AH6" i="3" s="1"/>
  <c r="BL8" i="3"/>
  <c r="Z10" i="3" s="1"/>
  <c r="BL7" i="3"/>
  <c r="Y10" i="3" s="1"/>
  <c r="BQ7" i="3"/>
  <c r="AC8" i="3" s="1"/>
  <c r="BQ8" i="3"/>
  <c r="AN7" i="3" s="1"/>
  <c r="BB8" i="3"/>
  <c r="AI7" i="3" s="1"/>
  <c r="AI23" i="3" s="1"/>
  <c r="G6" i="7" s="1"/>
  <c r="BB7" i="3"/>
  <c r="Z7" i="3" s="1"/>
  <c r="BW7" i="3"/>
  <c r="AB9" i="3" s="1"/>
  <c r="BW8" i="3"/>
  <c r="AK7" i="3" s="1"/>
  <c r="BA8" i="3"/>
  <c r="Y8" i="3" s="1"/>
  <c r="BA7" i="3"/>
  <c r="X6" i="3" s="1"/>
  <c r="CD8" i="3"/>
  <c r="AD10" i="3" s="1"/>
  <c r="CD7" i="3"/>
  <c r="AC10" i="3" s="1"/>
  <c r="BU7" i="3"/>
  <c r="AB8" i="3" s="1"/>
  <c r="BU8" i="3"/>
  <c r="X13" i="3" s="1"/>
  <c r="BT8" i="3"/>
  <c r="AJ8" i="3" s="1"/>
  <c r="BT7" i="3"/>
  <c r="AB7" i="3" s="1"/>
  <c r="BM7" i="3"/>
  <c r="AF7" i="3" s="1"/>
  <c r="BM8" i="3"/>
  <c r="AN6" i="3" s="1"/>
  <c r="BY7" i="3"/>
  <c r="X15" i="3" s="1"/>
  <c r="BY8" i="3"/>
  <c r="AE9" i="3" s="1"/>
  <c r="BJ8" i="3"/>
  <c r="AC7" i="3" s="1"/>
  <c r="BJ7" i="3"/>
  <c r="AG6" i="3" s="1"/>
  <c r="CB8" i="3"/>
  <c r="X16" i="3" s="1"/>
  <c r="CB7" i="3"/>
  <c r="W8" i="3" s="1"/>
  <c r="CC7" i="3"/>
  <c r="X17" i="3" s="1"/>
  <c r="CC8" i="3"/>
  <c r="AN8" i="3" s="1"/>
  <c r="AZ8" i="3"/>
  <c r="Y7" i="3" s="1"/>
  <c r="AZ7" i="3"/>
  <c r="W6" i="3" s="1"/>
  <c r="BH8" i="3"/>
  <c r="Z9" i="3" s="1"/>
  <c r="BH7" i="3"/>
  <c r="X10" i="3" s="1"/>
  <c r="BR8" i="3"/>
  <c r="AC9" i="3" s="1"/>
  <c r="BR7" i="3"/>
  <c r="X12" i="3" s="1"/>
  <c r="BD8" i="3"/>
  <c r="AM7" i="3" s="1"/>
  <c r="BD7" i="3"/>
  <c r="X7" i="3" s="1"/>
  <c r="BK7" i="3"/>
  <c r="AG7" i="3" s="1"/>
  <c r="BK8" i="3"/>
  <c r="AK6" i="3" s="1"/>
  <c r="AY7" i="3"/>
  <c r="V7" i="3" s="1"/>
  <c r="AY8" i="3"/>
  <c r="AE7" i="3" s="1"/>
  <c r="BG7" i="3"/>
  <c r="AF6" i="3" s="1"/>
  <c r="BG8" i="3"/>
  <c r="AJ6" i="3" s="1"/>
  <c r="BP8" i="3"/>
  <c r="W7" i="3" s="1"/>
  <c r="BP7" i="3"/>
  <c r="V9" i="3" s="1"/>
  <c r="BC7" i="3"/>
  <c r="Y9" i="3" s="1"/>
  <c r="BC8" i="3"/>
  <c r="AL6" i="3" s="1"/>
  <c r="BZ8" i="3"/>
  <c r="AM9" i="3" s="1"/>
  <c r="BZ7" i="3"/>
  <c r="Z11" i="3" s="1"/>
  <c r="CE7" i="3"/>
  <c r="AB11" i="3" s="1"/>
  <c r="CE8" i="3"/>
  <c r="AD11" i="3" s="1"/>
  <c r="BF8" i="3"/>
  <c r="AD7" i="3" s="1"/>
  <c r="BF7" i="3"/>
  <c r="X9" i="3" s="1"/>
  <c r="BO7" i="3"/>
  <c r="AD8" i="3" s="1"/>
  <c r="BO8" i="3"/>
  <c r="AM8" i="3" s="1"/>
  <c r="BX8" i="3"/>
  <c r="AL7" i="3" s="1"/>
  <c r="BX7" i="3"/>
  <c r="AB10" i="3" s="1"/>
  <c r="CA7" i="3"/>
  <c r="AH7" i="3" s="1"/>
  <c r="CA8" i="3"/>
  <c r="AK8" i="3" s="1"/>
  <c r="D33" i="3" l="1"/>
  <c r="I5" i="7" s="1"/>
  <c r="H5" i="7"/>
  <c r="W23" i="3"/>
  <c r="E3" i="6" s="1"/>
  <c r="Q3" i="6"/>
  <c r="Q7" i="6" s="1"/>
  <c r="C51" i="6" s="1"/>
  <c r="AI28" i="3"/>
  <c r="AI29" i="3" s="1"/>
  <c r="AF23" i="3"/>
  <c r="AF28" i="3" s="1"/>
  <c r="AF29" i="3" s="1"/>
  <c r="AF30" i="3" s="1"/>
  <c r="P5" i="5"/>
  <c r="K47" i="5" s="1"/>
  <c r="CY18" i="3"/>
  <c r="DQ17" i="3"/>
  <c r="DQ16" i="3"/>
  <c r="Q39" i="4"/>
  <c r="P41" i="3" s="1"/>
  <c r="AM23" i="3"/>
  <c r="AB23" i="3"/>
  <c r="AC23" i="3"/>
  <c r="AJ23" i="3"/>
  <c r="I8" i="7" s="1"/>
  <c r="J8" i="7" s="1"/>
  <c r="AA23" i="3"/>
  <c r="AH23" i="3"/>
  <c r="AN23" i="3"/>
  <c r="AE23" i="3"/>
  <c r="V23" i="3"/>
  <c r="Y23" i="3"/>
  <c r="X23" i="3"/>
  <c r="AL23" i="3"/>
  <c r="H10" i="7" s="1"/>
  <c r="AG23" i="3"/>
  <c r="AG28" i="3" s="1"/>
  <c r="Z23" i="3"/>
  <c r="CM15" i="3" s="1"/>
  <c r="AD13" i="3"/>
  <c r="AD23" i="3" s="1"/>
  <c r="DG8" i="3"/>
  <c r="AK12" i="3" s="1"/>
  <c r="AK23" i="3" s="1"/>
  <c r="G9" i="7" s="1"/>
  <c r="I10" i="7" l="1"/>
  <c r="D31" i="3"/>
  <c r="G11" i="7"/>
  <c r="AN28" i="3"/>
  <c r="AN29" i="3" s="1"/>
  <c r="I11" i="7"/>
  <c r="H9" i="7"/>
  <c r="AH28" i="3"/>
  <c r="F189" i="3" s="1"/>
  <c r="G189" i="3" s="1"/>
  <c r="I6" i="7"/>
  <c r="F203" i="3"/>
  <c r="G203" i="3" s="1"/>
  <c r="AG29" i="3"/>
  <c r="F206" i="3"/>
  <c r="G206" i="3" s="1"/>
  <c r="F184" i="3"/>
  <c r="G184" i="3" s="1"/>
  <c r="F198" i="3"/>
  <c r="G198" i="3" s="1"/>
  <c r="F188" i="3"/>
  <c r="G188" i="3" s="1"/>
  <c r="G3" i="6"/>
  <c r="G7" i="6" s="1"/>
  <c r="W122" i="6" s="1"/>
  <c r="Y28" i="3"/>
  <c r="Y29" i="3" s="1"/>
  <c r="Y30" i="3" s="1"/>
  <c r="H3" i="6"/>
  <c r="I3" i="6"/>
  <c r="T3" i="6"/>
  <c r="T7" i="6" s="1"/>
  <c r="AL28" i="3"/>
  <c r="AL29" i="3" s="1"/>
  <c r="R3" i="6"/>
  <c r="R7" i="6" s="1"/>
  <c r="AJ28" i="3"/>
  <c r="F3" i="6"/>
  <c r="J3" i="6"/>
  <c r="C106" i="3"/>
  <c r="D112" i="3"/>
  <c r="S3" i="6"/>
  <c r="S7" i="6" s="1"/>
  <c r="B65" i="6" s="1"/>
  <c r="AK28" i="3"/>
  <c r="AK29" i="3" s="1"/>
  <c r="D3" i="6"/>
  <c r="D7" i="6" s="1"/>
  <c r="T126" i="6" s="1"/>
  <c r="V28" i="3"/>
  <c r="V29" i="3" s="1"/>
  <c r="U3" i="6"/>
  <c r="U7" i="6" s="1"/>
  <c r="AM28" i="3"/>
  <c r="AM29" i="3" s="1"/>
  <c r="M3" i="6"/>
  <c r="N5" i="5"/>
  <c r="K52" i="5" s="1"/>
  <c r="N52" i="5" s="1"/>
  <c r="O52" i="5" s="1"/>
  <c r="G28" i="5" s="1"/>
  <c r="O3" i="6"/>
  <c r="O7" i="6" s="1"/>
  <c r="CY17" i="3"/>
  <c r="L3" i="6"/>
  <c r="U5" i="5"/>
  <c r="L53" i="5" s="1"/>
  <c r="V3" i="6"/>
  <c r="V7" i="6" s="1"/>
  <c r="CZ19" i="3"/>
  <c r="CY19" i="3" s="1"/>
  <c r="P3" i="6"/>
  <c r="P7" i="6" s="1"/>
  <c r="B51" i="6" s="1"/>
  <c r="CM16" i="3"/>
  <c r="K3" i="6"/>
  <c r="M5" i="5"/>
  <c r="K45" i="5" s="1"/>
  <c r="N45" i="5" s="1"/>
  <c r="O45" i="5" s="1"/>
  <c r="I28" i="5" s="1"/>
  <c r="N3" i="6"/>
  <c r="N7" i="6" s="1"/>
  <c r="C79" i="6" s="1"/>
  <c r="N39" i="4"/>
  <c r="M41" i="3" s="1"/>
  <c r="C35" i="3"/>
  <c r="CW20" i="3"/>
  <c r="CX20" i="3" s="1"/>
  <c r="CX16" i="3"/>
  <c r="CY16" i="3"/>
  <c r="CX17" i="3"/>
  <c r="CX19" i="3"/>
  <c r="CM17" i="3"/>
  <c r="CX18" i="3"/>
  <c r="DQ18" i="3"/>
  <c r="C34" i="3" s="1"/>
  <c r="G12" i="7" s="1"/>
  <c r="K5" i="5"/>
  <c r="F86" i="3"/>
  <c r="F92" i="3"/>
  <c r="F96" i="3"/>
  <c r="O5" i="5"/>
  <c r="F70" i="3"/>
  <c r="H70" i="3" s="1"/>
  <c r="I70" i="3" s="1"/>
  <c r="H5" i="5"/>
  <c r="K42" i="5" s="1"/>
  <c r="N42" i="5" s="1"/>
  <c r="F91" i="3"/>
  <c r="T5" i="5"/>
  <c r="K53" i="5" s="1"/>
  <c r="R5" i="5"/>
  <c r="K50" i="5" s="1"/>
  <c r="N50" i="5" s="1"/>
  <c r="F88" i="3"/>
  <c r="H88" i="3" s="1"/>
  <c r="I88" i="3" s="1"/>
  <c r="F79" i="3"/>
  <c r="H79" i="3" s="1"/>
  <c r="I79" i="3" s="1"/>
  <c r="F71" i="3"/>
  <c r="H71" i="3" s="1"/>
  <c r="I71" i="3" s="1"/>
  <c r="C5" i="5"/>
  <c r="K39" i="5" s="1"/>
  <c r="N39" i="5" s="1"/>
  <c r="F72" i="3"/>
  <c r="F67" i="3"/>
  <c r="H67" i="3" s="1"/>
  <c r="I67" i="3" s="1"/>
  <c r="L5" i="5"/>
  <c r="K43" i="5" s="1"/>
  <c r="N43" i="5" s="1"/>
  <c r="F87" i="3"/>
  <c r="F78" i="3"/>
  <c r="F69" i="3"/>
  <c r="F93" i="3"/>
  <c r="G5" i="5"/>
  <c r="F81" i="3"/>
  <c r="E5" i="5"/>
  <c r="F76" i="3"/>
  <c r="F73" i="3"/>
  <c r="D5" i="5"/>
  <c r="K40" i="5" s="1"/>
  <c r="N40" i="5" s="1"/>
  <c r="O40" i="5" s="1"/>
  <c r="E27" i="5" s="1"/>
  <c r="F95" i="3"/>
  <c r="S5" i="5"/>
  <c r="K51" i="5" s="1"/>
  <c r="N51" i="5" s="1"/>
  <c r="O51" i="5" s="1"/>
  <c r="I30" i="5" s="1"/>
  <c r="F94" i="3"/>
  <c r="H94" i="3" s="1"/>
  <c r="I94" i="3" s="1"/>
  <c r="F89" i="3"/>
  <c r="H89" i="3" s="1"/>
  <c r="I89" i="3" s="1"/>
  <c r="F83" i="3"/>
  <c r="H83" i="3" s="1"/>
  <c r="I83" i="3" s="1"/>
  <c r="F75" i="3"/>
  <c r="H75" i="3" s="1"/>
  <c r="I75" i="3" s="1"/>
  <c r="F80" i="3"/>
  <c r="H80" i="3" s="1"/>
  <c r="I80" i="3" s="1"/>
  <c r="Q5" i="5"/>
  <c r="F97" i="3"/>
  <c r="H97" i="3" s="1"/>
  <c r="I97" i="3" s="1"/>
  <c r="J5" i="5"/>
  <c r="F68" i="3"/>
  <c r="F82" i="3"/>
  <c r="F5" i="5"/>
  <c r="K41" i="5" s="1"/>
  <c r="N41" i="5" s="1"/>
  <c r="O41" i="5" s="1"/>
  <c r="E28" i="5" s="1"/>
  <c r="F98" i="3"/>
  <c r="F90" i="3"/>
  <c r="H90" i="3" s="1"/>
  <c r="I90" i="3" s="1"/>
  <c r="I5" i="5"/>
  <c r="F77" i="3"/>
  <c r="F85" i="3"/>
  <c r="F74" i="3"/>
  <c r="E39" i="4"/>
  <c r="D41" i="3" s="1"/>
  <c r="R39" i="4"/>
  <c r="Q41" i="3" s="1"/>
  <c r="J39" i="4"/>
  <c r="I41" i="3" s="1"/>
  <c r="T39" i="4"/>
  <c r="S41" i="3" s="1"/>
  <c r="F39" i="4"/>
  <c r="E41" i="3" s="1"/>
  <c r="K39" i="4"/>
  <c r="J41" i="3" s="1"/>
  <c r="G39" i="4"/>
  <c r="F41" i="3" s="1"/>
  <c r="S39" i="4"/>
  <c r="R41" i="3" s="1"/>
  <c r="D39" i="4"/>
  <c r="C41" i="3" s="1"/>
  <c r="U39" i="4"/>
  <c r="T41" i="3" s="1"/>
  <c r="C107" i="3" s="1"/>
  <c r="L39" i="4"/>
  <c r="K41" i="3" s="1"/>
  <c r="M39" i="4"/>
  <c r="L41" i="3" s="1"/>
  <c r="H39" i="4"/>
  <c r="G41" i="3" s="1"/>
  <c r="V39" i="4"/>
  <c r="U41" i="3" s="1"/>
  <c r="D107" i="3" s="1"/>
  <c r="O39" i="4"/>
  <c r="N41" i="3" s="1"/>
  <c r="P39" i="4"/>
  <c r="O41" i="3" s="1"/>
  <c r="I39" i="4"/>
  <c r="H41" i="3" s="1"/>
  <c r="J11" i="7" l="1"/>
  <c r="C112" i="3"/>
  <c r="E112" i="3" s="1"/>
  <c r="D106" i="3"/>
  <c r="D137" i="3" s="1"/>
  <c r="AH29" i="3"/>
  <c r="D35" i="3"/>
  <c r="H4" i="7" s="1"/>
  <c r="G4" i="7"/>
  <c r="J6" i="7"/>
  <c r="G7" i="7"/>
  <c r="V30" i="3"/>
  <c r="F207" i="3"/>
  <c r="G207" i="3" s="1"/>
  <c r="AJ29" i="3"/>
  <c r="F208" i="3"/>
  <c r="F195" i="3"/>
  <c r="G195" i="3" s="1"/>
  <c r="F185" i="3"/>
  <c r="G185" i="3" s="1"/>
  <c r="F204" i="3"/>
  <c r="G204" i="3" s="1"/>
  <c r="F194" i="3"/>
  <c r="G194" i="3" s="1"/>
  <c r="F199" i="3"/>
  <c r="G199" i="3" s="1"/>
  <c r="F191" i="3"/>
  <c r="G191" i="3" s="1"/>
  <c r="F196" i="3"/>
  <c r="G196" i="3" s="1"/>
  <c r="F186" i="3"/>
  <c r="G186" i="3" s="1"/>
  <c r="F202" i="3"/>
  <c r="E107" i="3"/>
  <c r="Z122" i="6"/>
  <c r="Z123" i="6"/>
  <c r="Z124" i="6"/>
  <c r="U123" i="6"/>
  <c r="T122" i="6"/>
  <c r="C137" i="3"/>
  <c r="F125" i="3"/>
  <c r="G125" i="3" s="1"/>
  <c r="D141" i="3"/>
  <c r="E141" i="3" s="1"/>
  <c r="T127" i="6"/>
  <c r="T123" i="6"/>
  <c r="T124" i="6"/>
  <c r="D103" i="3"/>
  <c r="E103" i="3" s="1"/>
  <c r="D109" i="3"/>
  <c r="E109" i="3" s="1"/>
  <c r="T125" i="6"/>
  <c r="K44" i="5"/>
  <c r="N44" i="5" s="1"/>
  <c r="O44" i="5" s="1"/>
  <c r="I27" i="5" s="1"/>
  <c r="CY21" i="3"/>
  <c r="N53" i="5"/>
  <c r="Q53" i="5" s="1"/>
  <c r="K29" i="5" s="1"/>
  <c r="O43" i="5"/>
  <c r="H28" i="5" s="1"/>
  <c r="O42" i="5"/>
  <c r="L27" i="5" s="1"/>
  <c r="CM18" i="3"/>
  <c r="CM19" i="3" s="1"/>
  <c r="K54" i="5"/>
  <c r="N54" i="5" s="1"/>
  <c r="O54" i="5" s="1"/>
  <c r="G30" i="5" s="1"/>
  <c r="K55" i="5"/>
  <c r="N55" i="5" s="1"/>
  <c r="O55" i="5" s="1"/>
  <c r="K30" i="5" s="1"/>
  <c r="P39" i="5"/>
  <c r="G27" i="5" s="1"/>
  <c r="O39" i="5"/>
  <c r="H27" i="5" s="1"/>
  <c r="K46" i="5"/>
  <c r="N46" i="5" s="1"/>
  <c r="O46" i="5" s="1"/>
  <c r="L28" i="5" s="1"/>
  <c r="L47" i="5"/>
  <c r="N47" i="5" s="1"/>
  <c r="K49" i="5"/>
  <c r="N49" i="5" s="1"/>
  <c r="O49" i="5" s="1"/>
  <c r="J28" i="5" s="1"/>
  <c r="K48" i="5"/>
  <c r="N48" i="5" s="1"/>
  <c r="O48" i="5" s="1"/>
  <c r="J27" i="5" s="1"/>
  <c r="E25" i="5"/>
  <c r="F41" i="4" s="1"/>
  <c r="E43" i="3" s="1"/>
  <c r="O50" i="5"/>
  <c r="I29" i="5" s="1"/>
  <c r="P50" i="5"/>
  <c r="K28" i="5" s="1"/>
  <c r="DG18" i="3"/>
  <c r="D34" i="3" s="1"/>
  <c r="H12" i="7" s="1"/>
  <c r="CX21" i="3"/>
  <c r="CO19" i="3" l="1"/>
  <c r="I13" i="7" s="1"/>
  <c r="H13" i="7"/>
  <c r="E106" i="3"/>
  <c r="E137" i="3"/>
  <c r="G202" i="3"/>
  <c r="H202" i="3" s="1"/>
  <c r="N193" i="3" s="1"/>
  <c r="G208" i="3"/>
  <c r="H123" i="6"/>
  <c r="P44" i="5"/>
  <c r="K27" i="5" s="1"/>
  <c r="K25" i="5" s="1"/>
  <c r="AD26" i="3" s="1"/>
  <c r="AD28" i="3" s="1"/>
  <c r="AD29" i="3" s="1"/>
  <c r="AD30" i="3" s="1"/>
  <c r="CW14" i="3"/>
  <c r="O53" i="5"/>
  <c r="G29" i="5" s="1"/>
  <c r="G25" i="5" s="1"/>
  <c r="H41" i="4" s="1"/>
  <c r="G43" i="3" s="1"/>
  <c r="P53" i="5"/>
  <c r="I31" i="5" s="1"/>
  <c r="I25" i="5" s="1"/>
  <c r="J41" i="4" s="1"/>
  <c r="I43" i="3" s="1"/>
  <c r="L25" i="5"/>
  <c r="AE26" i="3" s="1"/>
  <c r="AE28" i="3" s="1"/>
  <c r="AE29" i="3" s="1"/>
  <c r="AE30" i="3" s="1"/>
  <c r="J25" i="5"/>
  <c r="AC26" i="3" s="1"/>
  <c r="O47" i="5"/>
  <c r="H29" i="5" s="1"/>
  <c r="H25" i="5" s="1"/>
  <c r="P47" i="5"/>
  <c r="D27" i="5" s="1"/>
  <c r="D25" i="5" s="1"/>
  <c r="X26" i="3"/>
  <c r="X28" i="3" s="1"/>
  <c r="E36" i="3" l="1"/>
  <c r="F192" i="3"/>
  <c r="G192" i="3" s="1"/>
  <c r="X29" i="3"/>
  <c r="X30" i="3" s="1"/>
  <c r="F205" i="3"/>
  <c r="G205" i="3" s="1"/>
  <c r="H205" i="3" s="1"/>
  <c r="N191" i="3" s="1"/>
  <c r="D136" i="3"/>
  <c r="E136" i="3" s="1"/>
  <c r="F183" i="3"/>
  <c r="G183" i="3" s="1"/>
  <c r="H183" i="3" s="1"/>
  <c r="N183" i="3" s="1"/>
  <c r="F124" i="3"/>
  <c r="D144" i="3"/>
  <c r="E144" i="3" s="1"/>
  <c r="D143" i="3"/>
  <c r="E143" i="3" s="1"/>
  <c r="F123" i="3"/>
  <c r="G123" i="3" s="1"/>
  <c r="K4" i="6"/>
  <c r="K7" i="6" s="1"/>
  <c r="AE122" i="6" s="1"/>
  <c r="AC28" i="3"/>
  <c r="AC29" i="3" s="1"/>
  <c r="AC30" i="3" s="1"/>
  <c r="D110" i="3"/>
  <c r="E110" i="3" s="1"/>
  <c r="D105" i="3"/>
  <c r="E105" i="3" s="1"/>
  <c r="D111" i="3"/>
  <c r="E111" i="3" s="1"/>
  <c r="G92" i="3"/>
  <c r="H92" i="3" s="1"/>
  <c r="I92" i="3" s="1"/>
  <c r="L4" i="6"/>
  <c r="L7" i="6" s="1"/>
  <c r="G76" i="3"/>
  <c r="H76" i="3" s="1"/>
  <c r="I76" i="3" s="1"/>
  <c r="F4" i="6"/>
  <c r="F7" i="6" s="1"/>
  <c r="G78" i="3"/>
  <c r="H78" i="3" s="1"/>
  <c r="I78" i="3" s="1"/>
  <c r="M4" i="6"/>
  <c r="M7" i="6" s="1"/>
  <c r="G69" i="3"/>
  <c r="H69" i="3" s="1"/>
  <c r="I69" i="3" s="1"/>
  <c r="G93" i="3"/>
  <c r="H93" i="3" s="1"/>
  <c r="I93" i="3" s="1"/>
  <c r="G72" i="3"/>
  <c r="H72" i="3" s="1"/>
  <c r="I72" i="3" s="1"/>
  <c r="G87" i="3"/>
  <c r="H87" i="3" s="1"/>
  <c r="I87" i="3" s="1"/>
  <c r="M41" i="4"/>
  <c r="L43" i="3" s="1"/>
  <c r="AB26" i="3"/>
  <c r="AB28" i="3" s="1"/>
  <c r="AB29" i="3" s="1"/>
  <c r="AB30" i="3" s="1"/>
  <c r="Z26" i="3"/>
  <c r="Z28" i="3" s="1"/>
  <c r="K41" i="4"/>
  <c r="J43" i="3" s="1"/>
  <c r="L41" i="4"/>
  <c r="K43" i="3" s="1"/>
  <c r="G86" i="3"/>
  <c r="H86" i="3" s="1"/>
  <c r="I86" i="3" s="1"/>
  <c r="G96" i="3"/>
  <c r="H96" i="3" s="1"/>
  <c r="I96" i="3" s="1"/>
  <c r="I41" i="4"/>
  <c r="H43" i="3" s="1"/>
  <c r="AA26" i="3"/>
  <c r="AA28" i="3" s="1"/>
  <c r="AA29" i="3" s="1"/>
  <c r="AA30" i="3" s="1"/>
  <c r="E41" i="4"/>
  <c r="D43" i="3" s="1"/>
  <c r="W26" i="3"/>
  <c r="W28" i="3" s="1"/>
  <c r="W29" i="3" s="1"/>
  <c r="G73" i="3"/>
  <c r="H73" i="3" s="1"/>
  <c r="I73" i="3" s="1"/>
  <c r="G82" i="3"/>
  <c r="H82" i="3" s="1"/>
  <c r="I82" i="3" s="1"/>
  <c r="G68" i="3"/>
  <c r="H68" i="3" s="1"/>
  <c r="I68" i="3" s="1"/>
  <c r="G124" i="3" l="1"/>
  <c r="H124" i="3" s="1"/>
  <c r="N123" i="3" s="1"/>
  <c r="F190" i="3"/>
  <c r="Z29" i="3"/>
  <c r="Z30" i="3" s="1"/>
  <c r="W30" i="3"/>
  <c r="J67" i="3"/>
  <c r="N68" i="3" s="1"/>
  <c r="F126" i="3"/>
  <c r="F197" i="3"/>
  <c r="G197" i="3" s="1"/>
  <c r="F122" i="3"/>
  <c r="F201" i="3"/>
  <c r="G201" i="3" s="1"/>
  <c r="F193" i="3"/>
  <c r="G193" i="3" s="1"/>
  <c r="H191" i="3" s="1"/>
  <c r="N189" i="3" s="1"/>
  <c r="F187" i="3"/>
  <c r="G187" i="3" s="1"/>
  <c r="H186" i="3" s="1"/>
  <c r="N185" i="3" s="1"/>
  <c r="W126" i="6"/>
  <c r="U127" i="6"/>
  <c r="H127" i="6" s="1"/>
  <c r="Y124" i="6"/>
  <c r="AA123" i="6"/>
  <c r="K123" i="6" s="1"/>
  <c r="AC122" i="6"/>
  <c r="D135" i="3"/>
  <c r="E135" i="3" s="1"/>
  <c r="F127" i="3"/>
  <c r="D142" i="3"/>
  <c r="E142" i="3" s="1"/>
  <c r="F118" i="3"/>
  <c r="G118" i="3" s="1"/>
  <c r="F112" i="3"/>
  <c r="F130" i="3"/>
  <c r="G130" i="3" s="1"/>
  <c r="F128" i="3"/>
  <c r="D104" i="3"/>
  <c r="F121" i="3"/>
  <c r="G121" i="3" s="1"/>
  <c r="F120" i="3"/>
  <c r="G120" i="3" s="1"/>
  <c r="F129" i="3"/>
  <c r="F119" i="3"/>
  <c r="G119" i="3" s="1"/>
  <c r="F131" i="3"/>
  <c r="G131" i="3" s="1"/>
  <c r="AC123" i="6"/>
  <c r="W127" i="6"/>
  <c r="AE123" i="6"/>
  <c r="W128" i="6"/>
  <c r="AC124" i="6"/>
  <c r="AA124" i="6"/>
  <c r="K124" i="6" s="1"/>
  <c r="AE124" i="6"/>
  <c r="E107" i="6"/>
  <c r="E109" i="6"/>
  <c r="E108" i="6"/>
  <c r="C107" i="6"/>
  <c r="D108" i="6"/>
  <c r="D107" i="6"/>
  <c r="X123" i="6"/>
  <c r="X122" i="6"/>
  <c r="E105" i="6"/>
  <c r="U122" i="6"/>
  <c r="H122" i="6" s="1"/>
  <c r="C105" i="6"/>
  <c r="X124" i="6"/>
  <c r="G74" i="3"/>
  <c r="H74" i="3" s="1"/>
  <c r="I74" i="3" s="1"/>
  <c r="J73" i="3" s="1"/>
  <c r="N74" i="3" s="1"/>
  <c r="J4" i="6"/>
  <c r="J7" i="6" s="1"/>
  <c r="D106" i="6" s="1"/>
  <c r="G95" i="3"/>
  <c r="H95" i="3" s="1"/>
  <c r="I95" i="3" s="1"/>
  <c r="E4" i="6"/>
  <c r="E7" i="6" s="1"/>
  <c r="G81" i="3"/>
  <c r="H81" i="3" s="1"/>
  <c r="I81" i="3" s="1"/>
  <c r="H4" i="6"/>
  <c r="H7" i="6" s="1"/>
  <c r="G91" i="3"/>
  <c r="H91" i="3" s="1"/>
  <c r="I91" i="3" s="1"/>
  <c r="J90" i="3" s="1"/>
  <c r="I4" i="6"/>
  <c r="I7" i="6" s="1"/>
  <c r="G77" i="3"/>
  <c r="H77" i="3" s="1"/>
  <c r="I77" i="3" s="1"/>
  <c r="J76" i="3" s="1"/>
  <c r="N70" i="3" s="1"/>
  <c r="G85" i="3"/>
  <c r="H85" i="3" s="1"/>
  <c r="I85" i="3" s="1"/>
  <c r="J85" i="3" s="1"/>
  <c r="N75" i="3" s="1"/>
  <c r="G98" i="3"/>
  <c r="H98" i="3" s="1"/>
  <c r="I98" i="3" s="1"/>
  <c r="G122" i="3" l="1"/>
  <c r="H122" i="3" s="1"/>
  <c r="N122" i="3" s="1"/>
  <c r="G126" i="3"/>
  <c r="H125" i="3" s="1"/>
  <c r="N124" i="3" s="1"/>
  <c r="G129" i="3"/>
  <c r="H129" i="3" s="1"/>
  <c r="N126" i="3" s="1"/>
  <c r="G128" i="3"/>
  <c r="H128" i="3" s="1"/>
  <c r="N128" i="3" s="1"/>
  <c r="G127" i="3"/>
  <c r="H127" i="3" s="1"/>
  <c r="N125" i="3" s="1"/>
  <c r="G190" i="3"/>
  <c r="H190" i="3" s="1"/>
  <c r="N187" i="3" s="1"/>
  <c r="H121" i="3"/>
  <c r="N119" i="3" s="1"/>
  <c r="AO29" i="3"/>
  <c r="AO30" i="3"/>
  <c r="J95" i="3"/>
  <c r="H196" i="3"/>
  <c r="N190" i="3" s="1"/>
  <c r="J124" i="6"/>
  <c r="H130" i="3"/>
  <c r="H118" i="3"/>
  <c r="N118" i="3" s="1"/>
  <c r="E104" i="3"/>
  <c r="F107" i="3" s="1"/>
  <c r="E100" i="3" s="1"/>
  <c r="AA122" i="6"/>
  <c r="K122" i="6" s="1"/>
  <c r="Y123" i="6"/>
  <c r="J123" i="6" s="1"/>
  <c r="AD124" i="6"/>
  <c r="M124" i="6" s="1"/>
  <c r="AD123" i="6"/>
  <c r="M123" i="6" s="1"/>
  <c r="AD122" i="6"/>
  <c r="M122" i="6" s="1"/>
  <c r="Y122" i="6"/>
  <c r="J122" i="6" s="1"/>
  <c r="AB124" i="6"/>
  <c r="L124" i="6" s="1"/>
  <c r="AB123" i="6"/>
  <c r="L123" i="6" s="1"/>
  <c r="AB122" i="6"/>
  <c r="L122" i="6" s="1"/>
  <c r="W123" i="6"/>
  <c r="C111" i="6"/>
  <c r="W124" i="6"/>
  <c r="U125" i="6"/>
  <c r="H125" i="6" s="1"/>
  <c r="D109" i="6"/>
  <c r="U124" i="6"/>
  <c r="H124" i="6" s="1"/>
  <c r="C110" i="6"/>
  <c r="D110" i="6"/>
  <c r="C109" i="6"/>
  <c r="D105" i="6"/>
  <c r="V124" i="6"/>
  <c r="V123" i="6"/>
  <c r="V122" i="6"/>
  <c r="I122" i="6" s="1"/>
  <c r="V128" i="6"/>
  <c r="I128" i="6" s="1"/>
  <c r="V126" i="6"/>
  <c r="I126" i="6" s="1"/>
  <c r="V127" i="6"/>
  <c r="I127" i="6" s="1"/>
  <c r="V125" i="6"/>
  <c r="C108" i="6"/>
  <c r="C106" i="6"/>
  <c r="E106" i="6"/>
  <c r="W125" i="6"/>
  <c r="U126" i="6"/>
  <c r="H126" i="6" s="1"/>
  <c r="N76" i="3" l="1"/>
  <c r="N78" i="3"/>
  <c r="F84" i="3"/>
  <c r="H84" i="3" s="1"/>
  <c r="I84" i="3" s="1"/>
  <c r="J81" i="3" s="1"/>
  <c r="N72" i="3" s="1"/>
  <c r="G14" i="7"/>
  <c r="Z31" i="3"/>
  <c r="Z32" i="3" s="1"/>
  <c r="AD31" i="3"/>
  <c r="AD32" i="3" s="1"/>
  <c r="AF31" i="3"/>
  <c r="AF32" i="3" s="1"/>
  <c r="Y31" i="3"/>
  <c r="Y32" i="3" s="1"/>
  <c r="V31" i="3"/>
  <c r="AE31" i="3"/>
  <c r="AE32" i="3" s="1"/>
  <c r="AC31" i="3"/>
  <c r="AC32" i="3" s="1"/>
  <c r="AA31" i="3"/>
  <c r="AA32" i="3" s="1"/>
  <c r="AB31" i="3"/>
  <c r="AB32" i="3" s="1"/>
  <c r="X31" i="3"/>
  <c r="X32" i="3" s="1"/>
  <c r="W31" i="3"/>
  <c r="W32" i="3" s="1"/>
  <c r="F100" i="3"/>
  <c r="D145" i="3"/>
  <c r="D138" i="3"/>
  <c r="E138" i="3" s="1"/>
  <c r="C38" i="3"/>
  <c r="I123" i="6"/>
  <c r="I125" i="6"/>
  <c r="I124" i="6"/>
  <c r="AO31" i="3" l="1"/>
  <c r="D38" i="3"/>
  <c r="H14" i="7"/>
  <c r="V32" i="3"/>
  <c r="AR32" i="3" s="1"/>
  <c r="AC34" i="3" s="1"/>
  <c r="E145" i="3"/>
  <c r="F145" i="3" s="1"/>
  <c r="U2" i="2" l="1"/>
  <c r="A62" i="7" s="1"/>
  <c r="H17" i="7"/>
  <c r="M182" i="3"/>
  <c r="O183" i="3" s="1"/>
  <c r="H20" i="7" s="1"/>
  <c r="M117" i="3"/>
  <c r="O117" i="3" s="1"/>
  <c r="M67" i="3"/>
  <c r="N67" i="3" s="1"/>
  <c r="H18" i="7" s="1"/>
  <c r="I18" i="7" s="1"/>
  <c r="AO33" i="3"/>
  <c r="I17" i="7" s="1"/>
  <c r="G148" i="3"/>
  <c r="H16" i="7" s="1"/>
  <c r="E139" i="3" l="1"/>
  <c r="F139" i="3" s="1"/>
  <c r="F134" i="3" s="1"/>
  <c r="H19" i="7"/>
  <c r="H15" i="7" l="1"/>
  <c r="G134" i="3"/>
  <c r="I15" i="7" s="1"/>
</calcChain>
</file>

<file path=xl/sharedStrings.xml><?xml version="1.0" encoding="utf-8"?>
<sst xmlns="http://schemas.openxmlformats.org/spreadsheetml/2006/main" count="905" uniqueCount="531">
  <si>
    <t>А</t>
  </si>
  <si>
    <t>ГММ</t>
  </si>
  <si>
    <t>d</t>
  </si>
  <si>
    <t>Ц</t>
  </si>
  <si>
    <t>П</t>
  </si>
  <si>
    <t>АА</t>
  </si>
  <si>
    <t>ННД</t>
  </si>
  <si>
    <t>№</t>
  </si>
  <si>
    <t>Названия таблиц</t>
  </si>
  <si>
    <t>СЛ</t>
  </si>
  <si>
    <t>ТТТ</t>
  </si>
  <si>
    <t>ЛН</t>
  </si>
  <si>
    <t>Г</t>
  </si>
  <si>
    <t>ШВ</t>
  </si>
  <si>
    <t>О</t>
  </si>
  <si>
    <t>Л</t>
  </si>
  <si>
    <t>Н</t>
  </si>
  <si>
    <t>Ш</t>
  </si>
  <si>
    <t>Э</t>
  </si>
  <si>
    <t>С</t>
  </si>
  <si>
    <t>И</t>
  </si>
  <si>
    <t>ЛА</t>
  </si>
  <si>
    <t>ЛС</t>
  </si>
  <si>
    <t>ЛИ</t>
  </si>
  <si>
    <t>ШИ</t>
  </si>
  <si>
    <t>ЭИ</t>
  </si>
  <si>
    <t>ГЦ</t>
  </si>
  <si>
    <t>ГН</t>
  </si>
  <si>
    <t>АС</t>
  </si>
  <si>
    <t>К</t>
  </si>
  <si>
    <t>Д</t>
  </si>
  <si>
    <t>Т</t>
  </si>
  <si>
    <t>В</t>
  </si>
  <si>
    <t>Е</t>
  </si>
  <si>
    <t>М</t>
  </si>
  <si>
    <t>Ф</t>
  </si>
  <si>
    <t>ЦА</t>
  </si>
  <si>
    <t>ГНММ</t>
  </si>
  <si>
    <t>Аd</t>
  </si>
  <si>
    <t>НН</t>
  </si>
  <si>
    <t>ЛМ</t>
  </si>
  <si>
    <t>ЛЛП</t>
  </si>
  <si>
    <t>СТ</t>
  </si>
  <si>
    <t>ЦЭМ</t>
  </si>
  <si>
    <t>ИИ</t>
  </si>
  <si>
    <t>СС</t>
  </si>
  <si>
    <t>ЭЭ</t>
  </si>
  <si>
    <t>ПП</t>
  </si>
  <si>
    <t>ШШ</t>
  </si>
  <si>
    <t>ТТ</t>
  </si>
  <si>
    <t>ГГ</t>
  </si>
  <si>
    <t>ММ</t>
  </si>
  <si>
    <t>КВ</t>
  </si>
  <si>
    <t>ГЛ</t>
  </si>
  <si>
    <t>ОЭ</t>
  </si>
  <si>
    <t>ОЕ</t>
  </si>
  <si>
    <t>КФ</t>
  </si>
  <si>
    <t>АВ</t>
  </si>
  <si>
    <t>ИМ</t>
  </si>
  <si>
    <t>ЭФ</t>
  </si>
  <si>
    <t>ЛЭ</t>
  </si>
  <si>
    <t>ИД</t>
  </si>
  <si>
    <t>ШЛ</t>
  </si>
  <si>
    <t>ШЕ</t>
  </si>
  <si>
    <t>Эd</t>
  </si>
  <si>
    <t>СМ</t>
  </si>
  <si>
    <t>ДЕ</t>
  </si>
  <si>
    <t>ЦЛ</t>
  </si>
  <si>
    <t>ЛФ</t>
  </si>
  <si>
    <t>АО</t>
  </si>
  <si>
    <t>ЭНД</t>
  </si>
  <si>
    <t>ЛЛВ</t>
  </si>
  <si>
    <t>ЕФФ</t>
  </si>
  <si>
    <t>ГЭН</t>
  </si>
  <si>
    <t>ЭИВ</t>
  </si>
  <si>
    <t>ЭЭd</t>
  </si>
  <si>
    <t>ППВ</t>
  </si>
  <si>
    <t>СШШ</t>
  </si>
  <si>
    <t>ЦПМ</t>
  </si>
  <si>
    <t>ГГЕ</t>
  </si>
  <si>
    <t>ЭЭН</t>
  </si>
  <si>
    <t>ГЛПЭ</t>
  </si>
  <si>
    <t>ШШdd</t>
  </si>
  <si>
    <t>ПШШЭ</t>
  </si>
  <si>
    <t>СПШШШ</t>
  </si>
  <si>
    <t>ИИЕФФ</t>
  </si>
  <si>
    <t>ЕФФФ</t>
  </si>
  <si>
    <t>СШП-3</t>
  </si>
  <si>
    <t>ГГ+2</t>
  </si>
  <si>
    <t>ЦЛ+2</t>
  </si>
  <si>
    <t>М+1</t>
  </si>
  <si>
    <t>С-1</t>
  </si>
  <si>
    <t>С-3</t>
  </si>
  <si>
    <t>(-1)</t>
  </si>
  <si>
    <t>(+1)</t>
  </si>
  <si>
    <t>(+2)</t>
  </si>
  <si>
    <t>Выбран-0</t>
  </si>
  <si>
    <t>Г – гипертимный,</t>
  </si>
  <si>
    <t>Ц – циклоидный,</t>
  </si>
  <si>
    <t>А – астено-невротический</t>
  </si>
  <si>
    <t>С - сензитивный,</t>
  </si>
  <si>
    <t>П – психастенический,</t>
  </si>
  <si>
    <t>Ш – шизоидный</t>
  </si>
  <si>
    <t>Э – эпилептоидный</t>
  </si>
  <si>
    <t>Н – неустойчивый</t>
  </si>
  <si>
    <t>К – конформный</t>
  </si>
  <si>
    <t xml:space="preserve">Л - лабильный </t>
  </si>
  <si>
    <t>Д – показатель диссимуляции</t>
  </si>
  <si>
    <t>Т – показатель откровенности</t>
  </si>
  <si>
    <t>В – показатель черт характера, присущих органическим психопатиям</t>
  </si>
  <si>
    <t>Е – степень отражения реакции эмансипации в самооценке;</t>
  </si>
  <si>
    <t>О – показатель психологической склонности к делинквентности.</t>
  </si>
  <si>
    <t>Баллы по шкале объективной оценки</t>
  </si>
  <si>
    <t>1-е исследование (подходящие выборы)</t>
  </si>
  <si>
    <t>2-е исследование (не подходящие выборы)</t>
  </si>
  <si>
    <t>правило 0</t>
  </si>
  <si>
    <t>МДЧ</t>
  </si>
  <si>
    <t>Правило О. Тип считается неопределенным, если по шкале объективной оценки не достигнуто минимальное диагностическое число (МДЧ) в отношении ни одного типа. МДЧ неодинаково для разных типов и равно:</t>
  </si>
  <si>
    <t>Правило 1. Если МДЧ достигнуто или превышено только в отношении одного типа, то диагностируется этот тип (кроме случаев, предусмотренных правилами 2 и 3).</t>
  </si>
  <si>
    <t>Правило 2. Если констатирована возможность диссимуляции (Д–Т4), то типы Ц и К не диагностируются, независимо от числа набранных в их пользу баллов.</t>
  </si>
  <si>
    <t>Правило 3. Если сильно выражена реакция эмансипации (Е 4), то типы С и П не диагностируются, независимо от числа набранных в их пользу баллов.</t>
  </si>
  <si>
    <t>Правило 4. Если МДЧ достигнуто или превышено в отношении типа К и еще других типов, то тип К не диагностируется независимо от числа набранных в его пользу баллов.</t>
  </si>
  <si>
    <t>Правило 5. Если после исключений, сделанных соответственно правилам 2, 3 и 4, оказывается, что МДЧ достигнуто или превышено в отношении 2 типов, то следует:</t>
  </si>
  <si>
    <t>а) в случаях нижеперечисленных совместимых сочетаний диагностируется смешанный тип</t>
  </si>
  <si>
    <t>ГЦ ГИ ГН</t>
  </si>
  <si>
    <t>ЛА ЛС ЛИ ЛН</t>
  </si>
  <si>
    <t>АС АП АИ</t>
  </si>
  <si>
    <t>СП СШ</t>
  </si>
  <si>
    <t>ПШ</t>
  </si>
  <si>
    <t>ШЭ ШИ ШН</t>
  </si>
  <si>
    <t>ЭИ ЭН</t>
  </si>
  <si>
    <t>ИН</t>
  </si>
  <si>
    <t>Исключение представляет случай, предусмотренный правилом 6.</t>
  </si>
  <si>
    <t>б) в случаях остальных сочетаний, признанных несовместимыми, диагностируется тот из двух типов, в пользу которого получено большее превышение в баллах над его МДЧ;</t>
  </si>
  <si>
    <t>в) если в отношении двух несовместимых типов имеется одинаковое в числе баллов превышение их над МДЧ или оба они только достигают МДЧ, то для исключения одного из них руководствуются следующим принципом доминирования (сохраняется тип, указанный после знака равенства):</t>
  </si>
  <si>
    <t>Г+Л=Г</t>
  </si>
  <si>
    <t>Г+А=А</t>
  </si>
  <si>
    <t>Г+С=Г</t>
  </si>
  <si>
    <t>Г+П=П</t>
  </si>
  <si>
    <t>Г+Ш=Ш</t>
  </si>
  <si>
    <t>Ц+А=А</t>
  </si>
  <si>
    <t>Ц+С=С</t>
  </si>
  <si>
    <t>Ц+П=П</t>
  </si>
  <si>
    <t>Ц+Ш=Ш</t>
  </si>
  <si>
    <t>Ц+Э=Э</t>
  </si>
  <si>
    <t>Л+П=П</t>
  </si>
  <si>
    <t>Л+Ш=Ш</t>
  </si>
  <si>
    <t>Л+Э=Э</t>
  </si>
  <si>
    <t>А+Ш=Ш</t>
  </si>
  <si>
    <t>А+Э=Э</t>
  </si>
  <si>
    <t>А+Н=Н</t>
  </si>
  <si>
    <t>С+Э=Э</t>
  </si>
  <si>
    <t>С+И=И</t>
  </si>
  <si>
    <t>С+Н=Н</t>
  </si>
  <si>
    <t>П+Э=Э</t>
  </si>
  <si>
    <t>П+И=И</t>
  </si>
  <si>
    <t>П+Н=Н</t>
  </si>
  <si>
    <t>Г+Э=Г</t>
  </si>
  <si>
    <t>Ц+И=И</t>
  </si>
  <si>
    <t>Ц+Н=Н</t>
  </si>
  <si>
    <t>Правило 6. Если в пользу какого-либо типа набрано столь большое число баллов, что его возвышение над МДЧ превышает возвышение другого (других) типов над его (их) МДЧ не менее, чем на 4 балла, то эти отстающие на 4 и более баллов типы не диагностируются, даже если сочетание совместимо.</t>
  </si>
  <si>
    <t>Правило 7. Если МДЧ достигнуто или превышено в отношении трех или более типов и по правилам 2, 3, 4 и 6 их число не удается сократить до двух, то среди этих типов отбираются 2, в пользу которых получено наибольшее превышение в баллах над их МДЧ и далее руководствуется правилом 5.</t>
  </si>
  <si>
    <t>Правило 8. Во всех остальных случаях при необходимости сделать выбор между несколькими типами, в отношении МДЧ только достигнуто или набраномежду несколькими типами, в отношении МДЧ только достигнуто или набрано одинаковое число баллов, превышающее их МДЧ, диагностируются 1–2 типа, которые в соответствии с правилом 5а совмещаются с наибольшим числом из остальных сравниваемых.</t>
  </si>
  <si>
    <t>В соответствии с этими правилами оценка графика, приведенного в качестве примера, будет следующей. Диагностируется шизоидный тип. Обнаружена склонность к диссимуляции, низкая конформность, выраженная эмансипация.эмансипация.</t>
  </si>
  <si>
    <t>d - психологической склонности к делинквентности d (правонарушениям)</t>
  </si>
  <si>
    <t>М - черты  мужественности</t>
  </si>
  <si>
    <t>Ф - черты женственности в системе отношений</t>
  </si>
  <si>
    <t>V - психологической склонности к алкоголизации</t>
  </si>
  <si>
    <t>Тип акцентуации</t>
  </si>
  <si>
    <t>Признаки дезадаптации</t>
  </si>
  <si>
    <t>Гипертимный тип</t>
  </si>
  <si>
    <t>Шизоидный тип</t>
  </si>
  <si>
    <t>Лабильный тип</t>
  </si>
  <si>
    <t>Сенситивный тип</t>
  </si>
  <si>
    <t>Эпилептоидный тип</t>
  </si>
  <si>
    <t>Истероидный тип</t>
  </si>
  <si>
    <t>Неустойчивый тип</t>
  </si>
  <si>
    <t>Расшифровка буквенного кода</t>
  </si>
  <si>
    <t>Дополнительные показатели</t>
  </si>
  <si>
    <t>А— астено-невротический</t>
  </si>
  <si>
    <t>О — показатель негативного отношения к исследованию;</t>
  </si>
  <si>
    <t>Г — гипертимный</t>
  </si>
  <si>
    <t>Д — показатель диссимуляции действительного отношения к рассматриваемым проблемам и стремления не раскрывать черты характера;</t>
  </si>
  <si>
    <t>И — истероидный</t>
  </si>
  <si>
    <t>Т — показатель откровенности;</t>
  </si>
  <si>
    <t>К — конформный</t>
  </si>
  <si>
    <t xml:space="preserve"> В — показатель черт характера, встречающихся при органических психопатиях;</t>
  </si>
  <si>
    <t>Л — лабильный</t>
  </si>
  <si>
    <t xml:space="preserve"> Е — показатель отражения в самооценке реакции эмансипации;</t>
  </si>
  <si>
    <t>Н — неустойчивый</t>
  </si>
  <si>
    <t xml:space="preserve">d— показатель психологической склонности к делинквентности (только для подростков мужского пола); </t>
  </si>
  <si>
    <t>П — психастенический</t>
  </si>
  <si>
    <t>М— показатель черт мужественности;</t>
  </si>
  <si>
    <t>С — сенситивный</t>
  </si>
  <si>
    <t>Ф — показатель черт женственности в системе отношений.</t>
  </si>
  <si>
    <t>Ц — циклоидный</t>
  </si>
  <si>
    <t>Ш — шизоидный</t>
  </si>
  <si>
    <t>Э — эпилептоидный</t>
  </si>
  <si>
    <t>СКЛОННОСТЬ К ДЕПРЕССИИ</t>
  </si>
  <si>
    <t>Положительные баллы начисляются за:</t>
  </si>
  <si>
    <t>Отрицательные баллы начисляются за:</t>
  </si>
  <si>
    <t>Г=2 и меньше</t>
  </si>
  <si>
    <t>С-7 и больше</t>
  </si>
  <si>
    <t>Н=2 и меньше</t>
  </si>
  <si>
    <t>т&gt;д М&lt;Ф (у подростков мужского пола]</t>
  </si>
  <si>
    <t>Г=7 и больше</t>
  </si>
  <si>
    <t>И=7 и больше</t>
  </si>
  <si>
    <t>Н=7 и больше</t>
  </si>
  <si>
    <t>Д-Т=4 и больше</t>
  </si>
  <si>
    <t>СТЕПЕНЬ КОНФОРМНОСТИ</t>
  </si>
  <si>
    <t>Ошибки в выборах (один и тот же выбор на одну и ту же тему в обоих исследованиях) подсвечиваются красным и вносим вручную!</t>
  </si>
  <si>
    <t>Дополнительные баллы</t>
  </si>
  <si>
    <t>муж</t>
  </si>
  <si>
    <t>Введите пол цифрами (муж = 1) (жен = 2)</t>
  </si>
  <si>
    <t>жен</t>
  </si>
  <si>
    <t>Доп. Баллы</t>
  </si>
  <si>
    <t>ошибка выбора</t>
  </si>
  <si>
    <t>Осн. Баллы</t>
  </si>
  <si>
    <t>Цd</t>
  </si>
  <si>
    <t>(-3)</t>
  </si>
  <si>
    <t>Алкаголизация</t>
  </si>
  <si>
    <t>(+)</t>
  </si>
  <si>
    <t>(-)</t>
  </si>
  <si>
    <t>Г=11 и больше</t>
  </si>
  <si>
    <t>Э=7 и и больше</t>
  </si>
  <si>
    <t>Н=8 и больше</t>
  </si>
  <si>
    <t>Д=5 и больше</t>
  </si>
  <si>
    <t>Е=5 и больше</t>
  </si>
  <si>
    <t>Г+Н=19 и больше</t>
  </si>
  <si>
    <t>Г+Н</t>
  </si>
  <si>
    <t>Л=6 и больше</t>
  </si>
  <si>
    <t>Ш=12 и больше</t>
  </si>
  <si>
    <t>d=5 и больше</t>
  </si>
  <si>
    <t>Л=12 и больше</t>
  </si>
  <si>
    <t>Ш=7 и больше</t>
  </si>
  <si>
    <t>Е=4 и больше</t>
  </si>
  <si>
    <t>d=4 и больше</t>
  </si>
  <si>
    <t>С=11 и больше</t>
  </si>
  <si>
    <t>Э=6 и больше</t>
  </si>
  <si>
    <t>d=3 и больше</t>
  </si>
  <si>
    <t>Дп-амбивалентн.</t>
  </si>
  <si>
    <t>Дп</t>
  </si>
  <si>
    <t>И=8 и больше</t>
  </si>
  <si>
    <t>А=5 и больше</t>
  </si>
  <si>
    <t>П=8 и больше</t>
  </si>
  <si>
    <t>И=13 и больше</t>
  </si>
  <si>
    <t>d=6 и больше</t>
  </si>
  <si>
    <t>Ц=6 и больше</t>
  </si>
  <si>
    <t>И=10 и больше</t>
  </si>
  <si>
    <t>В=5 и больше</t>
  </si>
  <si>
    <t>А+С+П=7 и больше</t>
  </si>
  <si>
    <t>А+С+П</t>
  </si>
  <si>
    <t>Доп баллы</t>
  </si>
  <si>
    <t>доп. Балл</t>
  </si>
  <si>
    <t>осн. Балл</t>
  </si>
  <si>
    <t>Сумма</t>
  </si>
  <si>
    <t>Типы акцентуации и признаки дезадаптации</t>
  </si>
  <si>
    <t xml:space="preserve">(V)  - склонности к алкоголизации (=)  </t>
  </si>
  <si>
    <t>М (маскулинности) и Ф (феминности)</t>
  </si>
  <si>
    <t xml:space="preserve">риска депрессии (шкала Др) </t>
  </si>
  <si>
    <t>риска злоупотребления психоактивными веществами</t>
  </si>
  <si>
    <t>Показатели</t>
  </si>
  <si>
    <t>Число баллов в пользу риска</t>
  </si>
  <si>
    <t>С=2 и меньше</t>
  </si>
  <si>
    <t>Э=7 и больше</t>
  </si>
  <si>
    <t>V= +4 и больше</t>
  </si>
  <si>
    <t>Суммарная оценка в 0–1 балл принята за отсутствие риска, 2 балла — за умеренный риск, 3 балла — за выраженный риск, 4–6 баллов — за очень высокий риск.</t>
  </si>
  <si>
    <t>риск злоупотребления психоактивными веществами</t>
  </si>
  <si>
    <t>Всего незаполненных ячеек</t>
  </si>
  <si>
    <t>Показатели по графику</t>
  </si>
  <si>
    <t>Начисляемые баллы</t>
  </si>
  <si>
    <t>Г=0 или Г=1</t>
  </si>
  <si>
    <t>П, С</t>
  </si>
  <si>
    <t>Ц=6 или Ц&gt;6</t>
  </si>
  <si>
    <t>А=4 или А&gt;4</t>
  </si>
  <si>
    <t>П=0 или П=1</t>
  </si>
  <si>
    <t>Н=0 или Н=1</t>
  </si>
  <si>
    <t>К=0</t>
  </si>
  <si>
    <t>Ш, Ш, И</t>
  </si>
  <si>
    <t>К=1</t>
  </si>
  <si>
    <t>Д=6 или Д&gt;6</t>
  </si>
  <si>
    <t>Т&gt;Д</t>
  </si>
  <si>
    <t>П, П, Ц</t>
  </si>
  <si>
    <t>В=5</t>
  </si>
  <si>
    <t>В=6 или B&gt;6</t>
  </si>
  <si>
    <t>Э, Э</t>
  </si>
  <si>
    <t>E=6 или E&gt;6</t>
  </si>
  <si>
    <t>Ш, И</t>
  </si>
  <si>
    <t>d=5 или d&gt;5</t>
  </si>
  <si>
    <t>О=6 или О&gt;6</t>
  </si>
  <si>
    <t>C</t>
  </si>
  <si>
    <t>М&lt;Ф (у мальчиков)</t>
  </si>
  <si>
    <t>С, Ш, И</t>
  </si>
  <si>
    <t>V=-6 и ниже</t>
  </si>
  <si>
    <t>V=+6 и выше</t>
  </si>
  <si>
    <t>Наличие ошибок в выборах (один и тот же номер выбора на одну тему в 1-м и 2-м исследовании)</t>
  </si>
  <si>
    <t>за 1 ошибку</t>
  </si>
  <si>
    <t>за 2 и более ошибок</t>
  </si>
  <si>
    <t>V</t>
  </si>
  <si>
    <t>1 ошибка</t>
  </si>
  <si>
    <t>показат.</t>
  </si>
  <si>
    <t>формула</t>
  </si>
  <si>
    <t>2Ш</t>
  </si>
  <si>
    <t>2П</t>
  </si>
  <si>
    <t>2Э</t>
  </si>
  <si>
    <t>Доп. Балл</t>
  </si>
  <si>
    <t>Осн. Балл</t>
  </si>
  <si>
    <r>
      <rPr>
        <b/>
        <u/>
        <sz val="14"/>
        <rFont val="Arial"/>
        <family val="2"/>
        <charset val="204"/>
      </rPr>
      <t xml:space="preserve">Правило О. </t>
    </r>
    <r>
      <rPr>
        <sz val="10"/>
        <rFont val="Arial"/>
        <family val="2"/>
        <charset val="204"/>
      </rPr>
      <t xml:space="preserve">    Тип считается неопределенным, если по шкале объективной оценки не достигнуто минимальное диагностическое число (МДЧ) в отношении ни одного типа. МДЧ неодинаково для разных типов и равно:</t>
    </r>
  </si>
  <si>
    <t>Д равно</t>
  </si>
  <si>
    <t>Т равно</t>
  </si>
  <si>
    <t>Е равно</t>
  </si>
  <si>
    <t>ЭИ ЭН ИН</t>
  </si>
  <si>
    <t>ГЦ ГН ГИ</t>
  </si>
  <si>
    <t>ddd</t>
  </si>
  <si>
    <t>НЕd</t>
  </si>
  <si>
    <t>ШШЕ</t>
  </si>
  <si>
    <t>ППЭ</t>
  </si>
  <si>
    <t>ЭИД</t>
  </si>
  <si>
    <t>ГЭИНН</t>
  </si>
  <si>
    <r>
      <rPr>
        <b/>
        <u/>
        <sz val="12"/>
        <rFont val="Arial"/>
        <family val="2"/>
        <charset val="204"/>
      </rPr>
      <t>Правило 8</t>
    </r>
    <r>
      <rPr>
        <b/>
        <sz val="12"/>
        <rFont val="Arial"/>
        <family val="2"/>
        <charset val="204"/>
      </rPr>
      <t>.</t>
    </r>
    <r>
      <rPr>
        <sz val="10"/>
        <rFont val="Arial"/>
        <family val="2"/>
        <charset val="204"/>
      </rPr>
      <t xml:space="preserve"> Во всех остальных случаях при необходимости сделать выбор между несколькими типами, в отношении МДЧ только достигнуто или набрано между несколькими типами, в отношении МДЧ только достигнуто или набрано одинаковое число баллов, превышающее их МДЧ, диагностируются 1–2 типа, которые в соответствии с правилом 5а совмещаются с наибольшим числом из остальных сравниваемых.</t>
    </r>
  </si>
  <si>
    <r>
      <rPr>
        <b/>
        <u/>
        <sz val="12"/>
        <rFont val="Arial"/>
        <family val="2"/>
        <charset val="204"/>
      </rPr>
      <t>Правило 7.</t>
    </r>
    <r>
      <rPr>
        <sz val="10"/>
        <rFont val="Arial"/>
      </rPr>
      <t xml:space="preserve"> Если МДЧ достигнуто или превышено в отношении трех или более типов и по правилам 2, 3, 4 и 6 их число не удается сократить до двух, то среди этих типов отбираются 2, в пользу которых получено наибольшее превышение в баллах над их МДЧ и далее руководствуется правилом 5.</t>
    </r>
  </si>
  <si>
    <r>
      <rPr>
        <b/>
        <u/>
        <sz val="12"/>
        <rFont val="Arial"/>
        <family val="2"/>
        <charset val="204"/>
      </rPr>
      <t>Правило 6.</t>
    </r>
    <r>
      <rPr>
        <sz val="10"/>
        <rFont val="Arial"/>
      </rPr>
      <t xml:space="preserve"> Если в пользу какого-либо типа набрано столь большое число баллов, что его возвышение над МДЧ превышает возвышение другого (других) типов над его (их) МДЧ не менее, чем на 4 балла, то эти отстающие на 4 и более баллов типы не диагностируются, даже если сочетание совместимо.</t>
    </r>
  </si>
  <si>
    <r>
      <rPr>
        <b/>
        <u/>
        <sz val="10"/>
        <rFont val="Arial"/>
        <family val="2"/>
        <charset val="204"/>
      </rPr>
      <t>в) если</t>
    </r>
    <r>
      <rPr>
        <sz val="10"/>
        <rFont val="Arial"/>
        <family val="2"/>
        <charset val="204"/>
      </rPr>
      <t xml:space="preserve"> в отношении двух несовместимых типов имеется одинаковое в числе баллов превышение их над МДЧ или оба они только достигают МДЧ, то для исключения одного из них руководствуются следующим принципом доминирования (сохраняется тип, указанный после знака равенства):</t>
    </r>
  </si>
  <si>
    <r>
      <rPr>
        <b/>
        <u/>
        <sz val="10"/>
        <rFont val="Arial"/>
        <family val="2"/>
        <charset val="204"/>
      </rPr>
      <t xml:space="preserve">б) в </t>
    </r>
    <r>
      <rPr>
        <sz val="10"/>
        <rFont val="Arial"/>
      </rPr>
      <t>случаях остальных сочетаний, признанных несовместимыми, диагностируется тот из двух типов, в пользу которого получено большее превышение в баллах над его МДЧ;</t>
    </r>
  </si>
  <si>
    <r>
      <rPr>
        <b/>
        <u/>
        <sz val="10"/>
        <rFont val="Arial"/>
        <family val="2"/>
        <charset val="204"/>
      </rPr>
      <t xml:space="preserve">а) в </t>
    </r>
    <r>
      <rPr>
        <sz val="10"/>
        <rFont val="Arial"/>
        <family val="2"/>
        <charset val="204"/>
      </rPr>
      <t>случаях нижеперечисленных совместимых сочетаний диагностируется смешанный тип. Исключение представляет случай, предусмотренный правилом 6.</t>
    </r>
  </si>
  <si>
    <r>
      <rPr>
        <b/>
        <u/>
        <sz val="12"/>
        <rFont val="Arial"/>
        <family val="2"/>
        <charset val="204"/>
      </rPr>
      <t xml:space="preserve">Правило 5. </t>
    </r>
    <r>
      <rPr>
        <sz val="10"/>
        <rFont val="Arial"/>
      </rPr>
      <t>Если после исключений, сделанных соответственно правилам 2, 3 и 4, оказывается, что МДЧ достигнуто или превышено в отношении 2 типов, то следует:</t>
    </r>
  </si>
  <si>
    <r>
      <rPr>
        <b/>
        <u/>
        <sz val="12"/>
        <rFont val="Arial"/>
        <family val="2"/>
        <charset val="204"/>
      </rPr>
      <t>Правило 4.</t>
    </r>
    <r>
      <rPr>
        <sz val="10"/>
        <rFont val="Arial"/>
      </rPr>
      <t xml:space="preserve"> Если МДЧ достигнуто или превышено в отношении типа К и еще других типов, то тип К не диагностируется независимо от числа набранных в его пользу баллов.</t>
    </r>
  </si>
  <si>
    <r>
      <rPr>
        <b/>
        <u/>
        <sz val="12"/>
        <rFont val="Arial"/>
        <family val="2"/>
        <charset val="204"/>
      </rPr>
      <t xml:space="preserve">Правило 3. </t>
    </r>
    <r>
      <rPr>
        <sz val="10"/>
        <rFont val="Arial"/>
        <family val="2"/>
        <charset val="204"/>
      </rPr>
      <t>Если сильно выражена реакция эмансипации (Е больше или равно 4), то типы С и П не диагностируются, независимо от числа набранных в их пользу баллов.</t>
    </r>
  </si>
  <si>
    <r>
      <rPr>
        <b/>
        <u/>
        <sz val="12"/>
        <rFont val="Arial"/>
        <family val="2"/>
        <charset val="204"/>
      </rPr>
      <t xml:space="preserve">Правило 2. </t>
    </r>
    <r>
      <rPr>
        <sz val="10"/>
        <rFont val="Arial"/>
        <family val="2"/>
        <charset val="204"/>
      </rPr>
      <t>Если констатирована возможность диссимуляции (Д больше Т на 4 и более баллов), то типы Ц и К не диагностируются, независимо от числа набранных в их пользу баллов.</t>
    </r>
  </si>
  <si>
    <r>
      <rPr>
        <b/>
        <u/>
        <sz val="12"/>
        <rFont val="Arial"/>
        <family val="2"/>
        <charset val="204"/>
      </rPr>
      <t xml:space="preserve">Правило 1. </t>
    </r>
    <r>
      <rPr>
        <sz val="10"/>
        <rFont val="Arial"/>
        <family val="2"/>
        <charset val="204"/>
      </rPr>
      <t>Если МДЧ достигнуто или превышено только в отношении одного типа, то диагностируется этот тип (кроме случаев, предусмотренных правилами 2 и 3).</t>
    </r>
  </si>
  <si>
    <t>МДЧ для "К" равно 6.</t>
  </si>
  <si>
    <t>К равно</t>
  </si>
  <si>
    <t>ОСН+ДОП</t>
  </si>
  <si>
    <t>Выявлено что МДЧ достигнуто и превышено в отношении следующих сочетаний:</t>
  </si>
  <si>
    <t>КРАТКОЕ ОПИСАНИЕ ДИАГНОСТИРУЕМЫХ ТИПОВ</t>
  </si>
  <si>
    <t xml:space="preserve"> С помощью ПДО могут быть диагностированы следующие типы психопатий и акцентуаций характера, краткое описание которых приводится ниже. </t>
  </si>
  <si>
    <t>Выявлено, что в отношении двух несовместимых типов имеется одинаковое в числе баллов превышение их над МДЧ или оба они только достигают МДЧ</t>
  </si>
  <si>
    <t>Выявлено: если в отношении двух несовместимых типов имеется одинаковое в числе баллов превышение их над МДЧ или оба они только достигают МДЧ, то для исключения одного из них руководствуются следующим принципом доминирования (сохраняется тип, указанный после знака равенства):</t>
  </si>
  <si>
    <t>подходящие выбор</t>
  </si>
  <si>
    <t>не подходящие выбор</t>
  </si>
  <si>
    <t>Расшифровка выбора</t>
  </si>
  <si>
    <t>Отношение к исследованию (кол-во выбранных 0 )</t>
  </si>
  <si>
    <t>Определение риска депрессии (шкала Др) делается по графику.</t>
  </si>
  <si>
    <t>С=7 и больше</t>
  </si>
  <si>
    <t>М&lt;Ф (у подростков мужского пола)</t>
  </si>
  <si>
    <t>Г равно</t>
  </si>
  <si>
    <t>С равно</t>
  </si>
  <si>
    <t>Н равно</t>
  </si>
  <si>
    <t>И равно</t>
  </si>
  <si>
    <t>За каждый из перечисленных показателей начисляется один положительный или отрицательный балл. Результат суммируется. Если в сумме получается результат с отрицательным знаком, то риск депрессии отвергается. Если получается величина +2 и выше, то отмечается риск депрессии; если результат оказывается нулевым или равен +1, то он считается неопределенным.</t>
  </si>
  <si>
    <t>Балл (+)</t>
  </si>
  <si>
    <t>Балл (-)</t>
  </si>
  <si>
    <t>Выявлено:</t>
  </si>
  <si>
    <t>Э равно</t>
  </si>
  <si>
    <t>Склонность к депрессии</t>
  </si>
  <si>
    <t>Признаками дискордантности служат:</t>
  </si>
  <si>
    <t>Диагностируемый тип</t>
  </si>
  <si>
    <t>Признаки дискордантности</t>
  </si>
  <si>
    <t>Гипертимный</t>
  </si>
  <si>
    <t>С=6 и больше</t>
  </si>
  <si>
    <t>П=6 и больше</t>
  </si>
  <si>
    <t>Ш=6 и больше</t>
  </si>
  <si>
    <t>Циклоидный</t>
  </si>
  <si>
    <t>Сенситивный</t>
  </si>
  <si>
    <t>И=6 и больше</t>
  </si>
  <si>
    <t>Психастенический</t>
  </si>
  <si>
    <t>Н=6 и больше</t>
  </si>
  <si>
    <t>Шизоидный</t>
  </si>
  <si>
    <t>Г=6 и больше</t>
  </si>
  <si>
    <t>Эпилептоидный</t>
  </si>
  <si>
    <t>Истероидный</t>
  </si>
  <si>
    <t>Неустойчивый</t>
  </si>
  <si>
    <t>Кроме того, при высоком показателе эмансипации</t>
  </si>
  <si>
    <t>Дискордантность характера — феномен, когда при диагностике определенного типа акцентуации характера одновременно оказывается достаточно высоким показатель такого типа, который с ним не совместим.</t>
  </si>
  <si>
    <t>осн+доп</t>
  </si>
  <si>
    <t>П равно</t>
  </si>
  <si>
    <t>Ш равно</t>
  </si>
  <si>
    <t>Ц равно</t>
  </si>
  <si>
    <t>Шкала дифференциальной диагностики истинных и демонстративных суицидных попыток</t>
  </si>
  <si>
    <t>В пользу истинной попытки начисляет-ся 1 балл со знаком плюс за каждый из следующих показателей:</t>
  </si>
  <si>
    <t>Н=2 и больше</t>
  </si>
  <si>
    <t>С=3 и меньше</t>
  </si>
  <si>
    <t>В пользу демонстративной попытки начисляет-ся 1 балл со знаком минус за каждый</t>
  </si>
  <si>
    <t>Др=-2 и ниже</t>
  </si>
  <si>
    <t>Др равно</t>
  </si>
  <si>
    <t>Др=+2 и больше</t>
  </si>
  <si>
    <t>Дискордантность характера</t>
  </si>
  <si>
    <t>Если полученная сумма имеет знак плюс (от +1 до +5), то попытка расценивается как истинная, если со знаком минус (от -1 до -5) — как демонстративная. При нулевом результате он считается неопределенным</t>
  </si>
  <si>
    <t>Баллы в пользу риска (за каждый из следующих выборов начисляется 1 балл со знаком плюс):</t>
  </si>
  <si>
    <t>Баллы против риска (за каждый из следующих выборов начисляется 1 балл со знаком минус):</t>
  </si>
  <si>
    <t>Тема выбора</t>
  </si>
  <si>
    <t>Дискордантность:</t>
  </si>
  <si>
    <t>1-Е ИССЛЕДОВАНИЕ</t>
  </si>
  <si>
    <t>2-Е ИССЛЕДОВАНИЕ</t>
  </si>
  <si>
    <t>Отношение к спиртным напиткам (13)</t>
  </si>
  <si>
    <t>Отношение к родителям (13)</t>
  </si>
  <si>
    <t>Отношение к критике и возражениям (10)</t>
  </si>
  <si>
    <t>Отношение к правилам и законам (4)</t>
  </si>
  <si>
    <t>Отношение к школе (1)</t>
  </si>
  <si>
    <t>Отношение к спиртным напиткам (6 и 9)</t>
  </si>
  <si>
    <t>Сексуальные проблемы (2)</t>
  </si>
  <si>
    <t>Отношение к критике и возражениям (9)</t>
  </si>
  <si>
    <t>Отношение к правилам и законам (8)</t>
  </si>
  <si>
    <t>Отношение к школе (6)</t>
  </si>
  <si>
    <t>Сон и сновидения (11)</t>
  </si>
  <si>
    <t>Настроение (8)</t>
  </si>
  <si>
    <t>Отношение к спиртным напиткам (7)</t>
  </si>
  <si>
    <t>Отношение к одежде (8)</t>
  </si>
  <si>
    <t>Отношение к родителям (3)</t>
  </si>
  <si>
    <t>Отношение к окружающим (9)</t>
  </si>
  <si>
    <t>Отношение к одиночеству (11)</t>
  </si>
  <si>
    <t>Отношение к новому (3)</t>
  </si>
  <si>
    <t>Отношение к неудачам (13)</t>
  </si>
  <si>
    <t>Отношение к лидерству (7)</t>
  </si>
  <si>
    <t>Сон и сновидения (8)</t>
  </si>
  <si>
    <t>Аппетит и отношение к еде (11)</t>
  </si>
  <si>
    <t>Отношение к правилам и законам (7)</t>
  </si>
  <si>
    <t>Шкала риска ранней половой жизни у девочек</t>
  </si>
  <si>
    <t>Риск:</t>
  </si>
  <si>
    <t>Пол:</t>
  </si>
  <si>
    <t>Установлены следующие критерии для оценки .иска на основе суммарного итога:(-3 и ниже — риск отсутствует),(0, -1, -2 — результат неясен),(+1 и выше — риск высокий).</t>
  </si>
  <si>
    <t>Дискорданность по типам</t>
  </si>
  <si>
    <t>Признаки по типам</t>
  </si>
  <si>
    <t>Признаки, указывающие на вероятность формирования психопатии</t>
  </si>
  <si>
    <t>Тип характера, определяемый с помощью ПДО</t>
  </si>
  <si>
    <t>Н=10 и больше</t>
  </si>
  <si>
    <t>Е=6 и больше</t>
  </si>
  <si>
    <t>Лабильный</t>
  </si>
  <si>
    <t>А=6 и больше</t>
  </si>
  <si>
    <t>Д=6 и больше</t>
  </si>
  <si>
    <t>С=12 и больше</t>
  </si>
  <si>
    <t>Г=1 и меньше</t>
  </si>
  <si>
    <t>Л=1 и меньше</t>
  </si>
  <si>
    <t>Ш=13 и больше</t>
  </si>
  <si>
    <t>V=+4 и больше</t>
  </si>
  <si>
    <t>Г=0</t>
  </si>
  <si>
    <t>Ц=8 и больше</t>
  </si>
  <si>
    <t>К=1 и меньше</t>
  </si>
  <si>
    <t>при Э=10 и больше</t>
  </si>
  <si>
    <t xml:space="preserve">2 ошибки и более, </t>
  </si>
  <si>
    <t>О=6 и больше</t>
  </si>
  <si>
    <t>Н=12 и больше</t>
  </si>
  <si>
    <t>А равно</t>
  </si>
  <si>
    <t>Л равно</t>
  </si>
  <si>
    <t>d равно</t>
  </si>
  <si>
    <t>V равно</t>
  </si>
  <si>
    <t>О равно</t>
  </si>
  <si>
    <t>В равно</t>
  </si>
  <si>
    <t>Психопатии по типам</t>
  </si>
  <si>
    <t>Самочувствие (от * до 12)</t>
  </si>
  <si>
    <t>Настроение (от * до 12)</t>
  </si>
  <si>
    <t>Сон и сновидения (от *  до 14)</t>
  </si>
  <si>
    <t>Пробуждение ото сна (от *  до 13)</t>
  </si>
  <si>
    <t>Аппетит и отношение к еде (от * до 19)</t>
  </si>
  <si>
    <t>Отношение к спиртным напиткам (от * до 13)</t>
  </si>
  <si>
    <t>Сексуальные проблемы (от * до 14)</t>
  </si>
  <si>
    <t>Отношение к одежде (от * до 12)</t>
  </si>
  <si>
    <t>Отношение к деньгам (от * до 13)</t>
  </si>
  <si>
    <t>Отношение к родителям (от * до 13)</t>
  </si>
  <si>
    <t>Отношение к друзьям (от * до 15)</t>
  </si>
  <si>
    <t>Отношение к окружающим (от * до 17)</t>
  </si>
  <si>
    <t>Отношение к незнакомым людям (от * до 12)</t>
  </si>
  <si>
    <t>Отношение к одиночеству (от * до 11)</t>
  </si>
  <si>
    <t>Отношение к будущему (от * до 13)</t>
  </si>
  <si>
    <t>Отношение к новому (от * до 10)</t>
  </si>
  <si>
    <t>Отношение к неудачам (от * до 13)</t>
  </si>
  <si>
    <t>Отношение к приключениям и риску (от * до 10)</t>
  </si>
  <si>
    <t>Отношение к лидерству (от * до 12)</t>
  </si>
  <si>
    <t>Отношение к критике и возражениям (от * до 13)</t>
  </si>
  <si>
    <t>Отношение к опеке и наставлениям (от * до 14)</t>
  </si>
  <si>
    <t>Отношение к правилам и законам (от * до 12)</t>
  </si>
  <si>
    <t>Оценка себя в детстве (от * до 15)</t>
  </si>
  <si>
    <t>Отношение к школе (от * до 13)</t>
  </si>
  <si>
    <t>Оценка себя в данный момент (от * до 13)</t>
  </si>
  <si>
    <r>
      <t xml:space="preserve">Введите в графе 1-е исследование "Номера наиболее подходящих ответов", номера тех ответов, которые наиболее для Вас  подходят. А в графе 2-е исследование "Номера наиболее неподходящих ответов", номера тех ответов, которые наиболее для Вас  не подходят. В каждой графе разрешается отмечать не более трех номеров.
 </t>
    </r>
    <r>
      <rPr>
        <b/>
        <u/>
        <sz val="12"/>
        <color rgb="FFFF0000"/>
        <rFont val="Arial"/>
        <family val="2"/>
        <charset val="204"/>
      </rPr>
      <t>Внимание, если выбор "0" (ноль) - в этой  ячейке ставим * (звездочку).</t>
    </r>
  </si>
  <si>
    <r>
      <rPr>
        <b/>
        <u/>
        <sz val="12"/>
        <rFont val="Arial"/>
        <family val="2"/>
        <charset val="204"/>
      </rPr>
      <t>Циклоидный тип (Ц).</t>
    </r>
    <r>
      <rPr>
        <sz val="10"/>
        <rFont val="Arial"/>
        <family val="2"/>
        <charset val="204"/>
      </rPr>
      <t xml:space="preserve"> Встречается только в виде акцентуаций характера. При патологическом уровне развивается одна из форм нервно-психичеcкого расстройства — циклотимия. При циклоидной акцентуации фазы гипертимности и субдепрессиивыражены нерезко, обычно кратковременны (1–2 недели) и могут перемежаться длительными интермиссиями. В субдепрессивной фазе падает работоспособность, ко всему утрачивается интерес, подростки становятся вялыми домоседами, избегают компании. Неудачи и мелкие неурядицы тяжело переживаются. Серьезные нарекания, особенно унижающие самолюбие, способны навести на мысли о собственной неполноценности и ненужности и подтолкнуть к суицидальному поведению. В субдепрессивной фазе также плохо переносится крутая ломка стереотипа жизни (переезд, смена учебного заведения и т.п.). Падает биологический тонус, могут спать больше обычного, но встают вялыми, неотдохнувшими. Даже любимые кушанья не доставляют прежнего удовольствия. Половое влечение обычно снижается. В гипертимной фазе циклоидные подростки не отличаются от гипертимов. Самооценка формируется постепенно, по мере накопления опыта «хороших» и «плохих» периодов. У подростков она нередко бывает еще неточной, так как первые проявления циклоидности начинаются только с половым созреванием. Иногда бывает выражена сезонность фаз: депрессии падают на зиму или на весну, а гипертимные периоды — на осень. В интермиссиях между субдепрессивными и гипертимными фазами никаких особенностей не обнаруживают.</t>
    </r>
  </si>
  <si>
    <r>
      <rPr>
        <b/>
        <u/>
        <sz val="12"/>
        <rFont val="Arial"/>
        <family val="2"/>
        <charset val="204"/>
      </rPr>
      <t xml:space="preserve">Гипертимный тип (Г). </t>
    </r>
    <r>
      <rPr>
        <sz val="10"/>
        <rFont val="Arial"/>
        <family val="2"/>
        <charset val="204"/>
      </rPr>
      <t>Такие подростки отличаются всегда хорошим, даже слегка повышенным настроением, высоким жизненным тонусом, брызжущей энергией, неудержимой активностью, постоянным стремлением к лидерству, притом неформальному. Хорошее чувство нового сочетается с неустойчивостью интересов, а большая общительность с неразборчивостью в выборе знакомств, в силу чего могут незаметно дляГипертимный тип (Г). Такие подростки отличаются всегда хорошим, даже слегка повышенным настроением, высоким жизненным тонусом, брызжущей энергией, неудержимой активностью, постоянным стремлением к лидерству, притом неформальному. Хорошее чувство нового сочетается с неустойчивостью интересов, а большая общительность с неразборчивостью в выборе знакомств, в силу чего могут незаметно для себя оказаться в дурной компании, начать выпивать (обычно предпочитая неглубокие степени опьянения), пробовать действие наркотиков и других токсических средств (но пристрастия к ним в подростковом возрасте обычно не возникает). Правонарушения присущи групповые. Легко осваиваются в незнакомой и быстро меняющейся обстановке, но переоценивают свои возможности и строят чрезмерно оптимистические планы на будущее («хорошие тактики и плохие стратеги»). Неразборчивы в выборе приятелей и напарников, отчего нередко бывают преданы ими. Плохо переносят одиночество, размеренный режим, строго регламентированную дисциплину, однообразную обстановку, монотонный и требующий мелочной аккуратности труд, вынужденное безделье. Стремление окружающих подавить их активность и лидерские тенденции нередко ведет к бурным, но коротким вспышкам раздражения. Не злопамятны. Легко мирятся с теми, с кем поссорились. Разговорчивы, говорят быстро, с живой мимикой и жестами. Высокий биологический тонус проявляется всегда хорошим аппетитом, здоровым, крепким сном — встают бодрыми, отдохнувшими. Сексуальное влечение рано пробуждается и отличается силой. Быстро увлекаются, но и охладевают к сексуальным партнерам. Самооценка нередко неплохая, но часто стараются показать себя более конформными, чем это есть на самом деле. Плохо совместимы с подростками эпилептоидного типа, от представителей шизоидного, сенситивного и психастенического типов стараются дистанцироваться. Первые проявления гипертимности нередко бывают с детства: неугомонность, шумливость, стремление командовать сверстниками, чрезмерная самостоятельность.</t>
    </r>
  </si>
  <si>
    <r>
      <rPr>
        <b/>
        <u/>
        <sz val="12"/>
        <rFont val="Arial"/>
        <family val="2"/>
        <charset val="204"/>
      </rPr>
      <t>Лабильный тип (Л).</t>
    </r>
    <r>
      <rPr>
        <sz val="10"/>
        <rFont val="Arial"/>
        <family val="2"/>
        <charset val="204"/>
      </rPr>
      <t xml:space="preserve"> Главная черта этого типа — крайняя изменчивость настроения, которое меняется слишком часто и чрезмерно круто от ничтожных и даже незаметных для окружающих поводов. От настроения момента зависит и сон, и аппетит, и работоспособность, и общительность. Чувства и привязанности искренни и глубоки, особенно к тем лицам, кто сами к ним проявляют любовь, внимание и заботу. Велика потребность в сопереживании. Тонко чувствуют отношение к себе окружающих даже при поверхностном контакте. Всякого рода эксцессы избегают. К лидерству не стремятся. Тяжело переносят утрату или отвержение со стороны значимых лиц. Самооценка отличается искренностью и умением правильно подметить черты своего характера. Чрезмерная эмоциональность обычно сочетается с вегетативной лабильностью: легко краснеют и бледнеют, меняется частота пульса, величина артериального давления. Нередко наблюдается довольно выраженная инфантильность: выглядят моложе своих лет. Лгать и скрывать свои чувства не умеют: настроение всегда написано на лице. Дети почти все наделены эмоциональной лабильностью. Поэтому о данном типе можно судить, если эти черты ярко выражены у подростков.</t>
    </r>
  </si>
  <si>
    <r>
      <rPr>
        <b/>
        <u/>
        <sz val="12"/>
        <rFont val="Arial"/>
        <family val="2"/>
        <charset val="204"/>
      </rPr>
      <t>Астено-невротический тип (А).</t>
    </r>
    <r>
      <rPr>
        <sz val="10"/>
        <rFont val="Arial"/>
        <family val="2"/>
        <charset val="204"/>
      </rPr>
      <t xml:space="preserve"> Также встречается только в виде акцентуации характера. Патологический уровень проявляется чаше всего развитием неврастении. Главными чертами являются повышенная утомляемость, раздражительность и склонность к ипохондричности. Утомляемость особенно проявляется при умственных занятиях и в условиях соревнований. При утомлении аффективные вспышки возникают по ничтожному поводу. Самооценка обычно выражает ипохондрические установки.</t>
    </r>
  </si>
  <si>
    <r>
      <rPr>
        <b/>
        <u/>
        <sz val="12"/>
        <rFont val="Arial"/>
        <family val="2"/>
        <charset val="204"/>
      </rPr>
      <t>Сенситивный тип (С).</t>
    </r>
    <r>
      <rPr>
        <sz val="10"/>
        <rFont val="Arial"/>
        <family val="2"/>
        <charset val="204"/>
      </rPr>
      <t xml:space="preserve"> У этого типа две главные черты — большая впечатлительность и чувство собственной неполноценности. В себе видят множество недостатков, особенно во внешности и в области качеств морально-этических и волевых. Замкнутость, робость и застенчивость выступают среди посторонних и в непривычной обстановке. С незнакомыми бывают трудны даже самые поверхностные формальные контакты, но с тем к кому привыкли, бывают достаточно общительны и откровенны. Ни к алкоголизации, ни к делинквентности склонности не обнаруживают. Непосильной оказывается ситуация, где подросток оказывается объектом неблагожелательного внимания окружения, когда на его репутацию падает тень или он подвергается несправедливым обвинениям или насмешкам. Самооценка отличается высоким уровнем объективности. При этом типе нередко бывает ярко выражена реакция гиперкомпенсации — стремление преуспеть именно в той области, где таится комплекс собственной неполноценности (например, парашютные прыжки, чтобы преодолеть робость; усиленные занятия гимнастикой, чтобы исправить дефекты фигуры; стремление к общественной работе, чтобы преодолеть застенчивость и т.п.). Сенситивные черты начинают выявляться с детства робостью, застенчивостью, боязнью незнакомцев, но критическим является возраст 16–18 лет — вступление в самостоятельную социальную активность после многих лет учебы в привычном окружении сверстников. Некоторые действительные физические дефекты (например, заикание) могут способствовать заострению сенситивных черт или наслаивать их на некоторые другие типы акцентуаций (эмоционально-лабильную, психастеническую, шизоидную). Необходимость отвечать не только за себя, но и за других, может наоборот, сглаживать сенситивные черты.</t>
    </r>
  </si>
  <si>
    <r>
      <rPr>
        <b/>
        <u/>
        <sz val="12"/>
        <rFont val="Arial"/>
        <family val="2"/>
        <charset val="204"/>
      </rPr>
      <t>Психастенический тип (П).</t>
    </r>
    <r>
      <rPr>
        <sz val="10"/>
        <rFont val="Arial"/>
        <family val="2"/>
        <charset val="204"/>
      </rPr>
      <t xml:space="preserve"> Главными чертами являются нерешительность, склонность к рассуждательству, тревожная мнительность в виде опасений за будущее — свое и своих близких, склонность к самоанализу и легкость возникновения навязчивостей. Черты характера обычно обнаруживаются в начальных классах школы — при первых требованиях к чувству ответственности. Отвечать за себя и особенно за других бывает самой трудной задачей. Защитой от постоянной тревоги по поводу воображаемых неприятностей и несчастий служат выдуманные предметы и ритуалы. Если их не выполняют, то это крайне усиливает тревогу за будущее, за благополучие свое и близких, за успех дела, которым заняты. Нерешительность усиливается, когда надо сделать самостоятельный выбор и когда решение касается маловажных повседневных проблем. Наоборот, вопросы серьезные, существенно отражающиеся на будущем, могут решаться с удивительной скоропалительной опрометчивостью. Алкоголизация и делинквентность в подростковом возрасте не присущи. Но при повзрослении могут обнаружить, что алкоголь способен снимать тревогу, неуверенность и внутреннее напряжение и тогда могут к
нему пристраститься. В самооценке склонны находить у себя черты разных типов, включая совершенно не свойственные. Из-за чрезмерного педантизма, мелочной принципиальности, доходящей до деспотизма, нередко плохо совмещаются с представителями почти всех типов акцентуаций характера, кроме шизоидов, которые внешне могут никак не реагировать на их поведение. Считается, что мелочный педантизм психастеников также служит для них психологической защитой от опасений и тревоги за будущее.</t>
    </r>
  </si>
  <si>
    <r>
      <rPr>
        <b/>
        <u/>
        <sz val="12"/>
        <rFont val="Arial"/>
        <family val="2"/>
        <charset val="204"/>
      </rPr>
      <t xml:space="preserve">Шизоидный тип (Ш). </t>
    </r>
    <r>
      <rPr>
        <sz val="10"/>
        <rFont val="Arial"/>
        <family val="2"/>
        <charset val="204"/>
      </rPr>
      <t>Главными чертами является замкнутость и недостаток интуиции в процессе общения. Трудно устанавливать неформальные, эмоциональные контакты — эта неспособность нередко тяжело переживается. Быстрая истощаемость в контакте побуждает к еще большему уходу в себя. Недостаток интуиции проявляется неумением понять чужие переживания, угадать желания других, догадаться о невысказанном вслух. К этому примыкает недостаток сопереживания. Внутренний мир почти всегда закрыт для других и заполнен увлечениями и фантазиями, последние предназначены только для услаждения самого себя, служат утешению честолюбия или носят эротический характер. Увлечения отличаются силой, постоянством, и нередко необычностью, изысканностью. Богатые эротические фантазии сочетаются с внешней асексуальностью. Алкоголизация и делинквентное поведение встречаются нечасто. Труднее всего переносятся ситуации, где нужно быстро установить неформальные эмоциональные контакты, а также насильственное вторжение посторонних во внутренний мир. Самооценка обычно неполная: хорошо констатируется замкнутость, трудность контактов, непонимание окружающих, другие особенности подмечаются хуже. В самооценке иногда подчеркивается нонконформизм. Замкнутость и сдержанность в проявлении чувств иногда помогают неплохо совмещаться с окружающими, ограничиваясь формальными контактами. Склонны
искать нешаблонные решения, предпочитают непринятые формы поведения, способны на неожиданные для других эскапады без учета вреда, который могут нанести ими самим себе. Но иногда обнаруживают недюжинные способности постоять за себя и свои интересы. У близких могут вызывать недовольство своей молчаливостью и сдержанностью, но когда дело заходит о хобби могут быть даже многоречивы. В своих симпатиях часто тяготеют к эмоционально-лабильным, может быть чувствуя в их характере то, что им самим недостает</t>
    </r>
  </si>
  <si>
    <r>
      <rPr>
        <b/>
        <u/>
        <sz val="12"/>
        <rFont val="Arial"/>
        <family val="2"/>
        <charset val="204"/>
      </rPr>
      <t>Истерический (гистрионический) тип (И).</t>
    </r>
    <r>
      <rPr>
        <sz val="10"/>
        <rFont val="Arial"/>
        <family val="2"/>
        <charset val="204"/>
      </rPr>
      <t xml:space="preserve"> Главными чертами являются беспредельный эгоцентризм, ненасытная жажда внимания к своей особе, восхищения, удивления, почитания, сочувствия. Все остальные особенности питаются этим. Лживость и фантазирование целиком служат приукрашению своей особы. Внешние проявления эмоциональности на деле оборачиваются отсутствием глубоких чувств при большой выразительности, театральности переживаний, склонности к рисовке и позерству. Неспособность к упорному труду сочетается с высокими притязаниями в отношении будущей профессии. Выдумывая, легко вживаются в роль, искусной игрой вводят в заблуждение доверчивых людей. Неудовлетворенный эгоцентризм часто подталкивает к яростной оппозиционности. Выигрывают в ситуации неразберихи, сумятицы, внезапно возникшей неопределенности, когда крикливость может быть принята за энергию, театральная воинственность — за решительность, умение быть у всех на виду — за организаторские способности. Но лидерский час скоро проходит, так как истероиды не столько лидируют, сколько играют в вожаков, и окружение скоро разбирается, что кроме позерства и трескучих фраз они ни на что не способны. Среди сверстников претендуют на первенство или на исключительное положение. Пытаются возвыситься среди них россказнями о своих удачах и похождениях. Товарищи скоро распознают их выдумки, их ненадежность, поэтому они часто меняют компании. Самооценка далека от объективности. Обычно представляют себя такими, какими в данный момент легче всего произвести впечатление.</t>
    </r>
  </si>
  <si>
    <r>
      <rPr>
        <b/>
        <u/>
        <sz val="12"/>
        <rFont val="Arial"/>
        <family val="2"/>
        <charset val="204"/>
      </rPr>
      <t>Неустойчивый тип (Н).</t>
    </r>
    <r>
      <rPr>
        <sz val="10"/>
        <rFont val="Arial"/>
        <family val="2"/>
        <charset val="204"/>
      </rPr>
      <t xml:space="preserve"> Главная черта — нежелание трудиться — ни работать, ни учиться, постоянная сильная тяга к развлечениям, удовольствию, праздности. При строгом и непрерывном контроле нехотя подчиняются, но всегда ищут случая отлынивать от любого труда. Полное безволие обнаруживается, когда дело касается исполнения обязанностей, долга, достижения целей, которые ставят перед ними родные, старшие, общество в целом. С желанием поразвлечься связана ранняя алкоголизация, делинквентность, употребление наркотиков и других дурманящих средств. Тянутся к уличным компаниям. Изза трусости и недостаточной инициативности оказываются там в подчиненном положении. Контакты всегда поверхностны. Романтическая влюбленность несвойственна, сексуальная жизнь служит лишь источником наслаждений. К своему будущему равнодушны, планов не строят, живут настоящим. От любых трудностей и неприятностей стараются убежать и не думать о них. Слабоволие и трусость позволяют удерживать их в условиях строгого дисциплинарного режима. Безнадзорность быстро оказывает пагубное действие. Самооценка обычно неверная — легко приписывают себе гипертимные или конформные черты.</t>
    </r>
  </si>
  <si>
    <r>
      <rPr>
        <b/>
        <u/>
        <sz val="12"/>
        <rFont val="Arial"/>
        <family val="2"/>
        <charset val="204"/>
      </rPr>
      <t xml:space="preserve">Конформный тип (К). </t>
    </r>
    <r>
      <rPr>
        <sz val="10"/>
        <rFont val="Arial"/>
        <family val="2"/>
        <charset val="204"/>
      </rPr>
      <t>Главная черта — постоянная и чрезмерная конформность к привычному окружению, к своей среде. Живут по правилу: думать «как все», поступать «как все», стараться, чтобы все у них было «как у всех» — от одежды до суждений по животрепещущим вопросам. Становятся целиком продуктом своего окружения: в хороших условиях старательно учатся и работают, в дурной среде — со временем прочно усваивают ее обычаи, привычки, манеру поведения. Поэтому «за компанию» легко спиваются. Конформность сочетается с поразительной некритичностью: истиной считают то, что поступает через привычный канал информации, некритичны ко всему, что черпают от привычного окружения, и склонны к предубежденному неприятию всего, что исходит от людей не своего круга. К этому добавляется консерватизм: новое не любят потому, что не могут к нему быстро приспособиться, трудно осваиваются в непривычной обстановке. Нелюбовь к новому проявляется неприязнью к чужакам, настороженностью к незнакомым. Наиболее успешно работают, когда не требуется личной инициативы. Плохо переносят крутую ломку жизненного стереотипа, лишение привычного общества. Самооценка может быть неплохой.</t>
    </r>
  </si>
  <si>
    <r>
      <rPr>
        <b/>
        <u/>
        <sz val="12"/>
        <rFont val="Arial"/>
        <family val="2"/>
        <charset val="204"/>
      </rPr>
      <t>Паранойяльный тип</t>
    </r>
    <r>
      <rPr>
        <sz val="10"/>
        <rFont val="Arial"/>
        <family val="2"/>
        <charset val="204"/>
      </rPr>
      <t xml:space="preserve"> в подростковом возрасте еще не проявляется — его расцвет падает на пик социальной зрелости, т.е. на 30–40 лет. Поэтому с помощью ПДО этот тип диагностировать невозможно. В подростковом возрасте будущие представители паранойяльного типа чаще всего обнаруживают эпилептоидную или шизоидную акцентуацию, реже истероидную и еще реже — гипертимную. Однако уже в этом возрасте может обнаруживаться завышенная оценка своей личности — своих способностей, своих талантов и умений, своей мудрости и понимания всего. Отсюда убежденность, что все, что они делают, всегда правильно, что думают и говорят — всегда истина, на что претендуют — безусловно имеют право. Любые препятствия на пути претворения в жизнь своих намерений пробуждают воинственную готовность отстаивать свои действительные или мнимые права. Рано пробуждается подозрительность, склонность всюду видеть злой умысел и злокозненный сговор против себя.</t>
    </r>
  </si>
  <si>
    <r>
      <rPr>
        <b/>
        <u/>
        <sz val="12"/>
        <rFont val="Arial"/>
        <family val="2"/>
        <charset val="204"/>
      </rPr>
      <t>Смешанные типы</t>
    </r>
    <r>
      <rPr>
        <sz val="10"/>
        <rFont val="Arial"/>
        <family val="2"/>
        <charset val="204"/>
      </rPr>
      <t xml:space="preserve">. Достаточно часто встречаются при как акцентуациях характера, так и при психопатиях. Однако далеко не все сочетания описанных типов возможны. Практически не сочетаются следующие типы:
Гипертимный — с лабильным, астено-невротическим, сенситивным, психастеническим, шизоидным, эпилептоидным. Циклоидный — со всеми типами, кроме гипертимного и лабильного. Лабильный — с гипертимным, психастеническим, шизоидным, эпилептоидным. Сенситивный — с гипертимным, циклоидным, эпилептоидным, истероидным, неустойчивым. Психастенический — с гипертимным, циклоидным, лабильным, эпилептоидным, истероидным, неустойчивым. Шизоидный — с гипертимным, циклоидным, лабильным, астено-невротическим. Эпилептоидный — с гипертимным, циклоидным, лабильным, астеноневротическим, сенситивным, психастеническим. Истероидный — с циклоидным, сенситивным, психастеническим. Неустойчивый — с циклоидным, сенситивным, психастеническим.Смешанные типы бывают двоякого рода.
 </t>
    </r>
    <r>
      <rPr>
        <b/>
        <u/>
        <sz val="12"/>
        <rFont val="Arial"/>
        <family val="2"/>
        <charset val="204"/>
      </rPr>
      <t>Промежуточные типы.</t>
    </r>
    <r>
      <rPr>
        <sz val="10"/>
        <rFont val="Arial"/>
        <family val="2"/>
        <charset val="204"/>
      </rPr>
      <t xml:space="preserve"> Эти сочетания обусловлены эндогенными, прежде всего генетическими факторами, а также, возможно, особенностями развития в раннем детстве. К ним относятся лабильно-циклоидный и конформно-гипертимный типы, сочетания лабильного типа с астено-невротическим и сенситивным, последних друг с другом и с  психастеническим. Промежуточными могут быть такие типы, как шизоидносенситивный, шизоидно-психастенический, шизоидно-эпилептоидный, шизоидноистероидный, эпилептоидно-истероидный. В силу эндогенных закономерностей с возрастом возможна трансформация гипертимного типа в циклоидный. 
</t>
    </r>
    <r>
      <rPr>
        <b/>
        <u/>
        <sz val="12"/>
        <rFont val="Arial"/>
        <family val="2"/>
        <charset val="204"/>
      </rPr>
      <t>Амальгамные типы.</t>
    </r>
    <r>
      <rPr>
        <sz val="10"/>
        <rFont val="Arial"/>
        <family val="2"/>
        <charset val="204"/>
      </rPr>
      <t xml:space="preserve"> Эти смешанные типы формируются в течение жизни как следствие напластования черт одного типа на эндогенное ядро другого в силу неправильного воспитания или других длительно действующих неблагоприятных факторов. На гипертимное ядро могут наслаиваться черты неустойчивости и истероидности, к лабильности присоединяться сенситивность и истероидность. Неустойчивость может также наслаиваться на шизоидное, эпилептоидное, истероидное и лабильное ядро. Под действием асоциальной среды из конформного типа может развиться неустойчивый. В условиях жестоких взаимоотношений в окружении эпилептоидные черты легко наслаиваются на конформное ядро.</t>
    </r>
  </si>
  <si>
    <t>Выявление признаков, указывающих на возможность формирования психопатии, осуществляется после определения типа характера на основании показателей графика. Тот же график служит одним из источников для выявления признаков возможной психопатизации (см. таблицу 3).
При пользовании перечисленными в таблице признаками, указывающими на вероятность формирования психопатии, следует руководствоваться следующими правилами:
1. Отсутствие указанных признаков не может свидетельствовать против клинического диагноза психопатии, так как в 30% случаев, клинически верифицированных как психопатии, эти признаки могут отсутствовать.
2. Наличие указанных признаков (одного или нескольких) у подростков с нарушениями поведения может расцениваться как один из доводов в пользу диагноза психопатии, но не как решающий диагностический фактор.
3. Обнаружение указанных признаков в результатах, полученных с помощью ПДО при массовых обследованиях подростков в популяции, не может служить прямым указанием для подозрения в отношении психопатии. Однако такие подростки нуждаются в более тщательном и детальном психологическом обследовании как возможные случаи с повышенным риском в отношении психопатического развития.</t>
  </si>
  <si>
    <t>И - Истероидный</t>
  </si>
  <si>
    <t>Смотри лист "правила 0-8"</t>
  </si>
  <si>
    <t>ФИО</t>
  </si>
  <si>
    <t>По результатам тестирования выявлены следующие результаты по шкалам:</t>
  </si>
  <si>
    <t>Дата:</t>
  </si>
  <si>
    <t>Ведущий тип акцентуации  характера:</t>
  </si>
  <si>
    <t>(К) равно:</t>
  </si>
  <si>
    <t>Шкала негативного отношения к исследованию</t>
  </si>
  <si>
    <t>(О) равно:</t>
  </si>
  <si>
    <t>Шкала конформности</t>
  </si>
  <si>
    <t>Шкала склонности к диссимуляции.</t>
  </si>
  <si>
    <t>(Т) равно:</t>
  </si>
  <si>
    <t>(Д) равно:</t>
  </si>
  <si>
    <t>Шкала реакции эмансипации</t>
  </si>
  <si>
    <t>(Е) равно:</t>
  </si>
  <si>
    <t xml:space="preserve"> Шкала склонности к делинквентности (только для "муж").</t>
  </si>
  <si>
    <t>(d) равно:</t>
  </si>
  <si>
    <t>(Ф) равно:</t>
  </si>
  <si>
    <t>(М) равно:</t>
  </si>
  <si>
    <t>Черты мужественности-женственности:</t>
  </si>
  <si>
    <t>Шкала склонности к алкоголизации (V)</t>
  </si>
  <si>
    <t>(V) равно:</t>
  </si>
  <si>
    <t>Шкала диагн. истинных и демонстративных суицидных попыток</t>
  </si>
  <si>
    <t>"Г"</t>
  </si>
  <si>
    <t>"Ц"</t>
  </si>
  <si>
    <t>"Л"</t>
  </si>
  <si>
    <t>"А"</t>
  </si>
  <si>
    <t>"С"</t>
  </si>
  <si>
    <t>"П"</t>
  </si>
  <si>
    <t>"Ш"</t>
  </si>
  <si>
    <t>"Э"</t>
  </si>
  <si>
    <t>"Н"</t>
  </si>
  <si>
    <t>"К"</t>
  </si>
  <si>
    <t>"И"</t>
  </si>
  <si>
    <t>Шкала признаков дезадаптации</t>
  </si>
  <si>
    <t>Шкала склонности к депрессии (Др)</t>
  </si>
  <si>
    <t>Шкала риска злоупотребления психоактивными веществами</t>
  </si>
  <si>
    <t>Шкала вероятности формирования психопатии</t>
  </si>
  <si>
    <t xml:space="preserve">Результаты тестирования по ПДО Личко </t>
  </si>
  <si>
    <t>Шкала указывающая на возможную органическую природу психопатии (В)</t>
  </si>
  <si>
    <r>
      <rPr>
        <b/>
        <u/>
        <sz val="12"/>
        <rFont val="Arial"/>
        <family val="2"/>
        <charset val="204"/>
      </rPr>
      <t>Эпилептоидный тип (Э).</t>
    </r>
    <r>
      <rPr>
        <sz val="10"/>
        <rFont val="Arial"/>
        <family val="2"/>
        <charset val="204"/>
      </rPr>
      <t xml:space="preserve"> Главной чертой является склонность к состояниям злобно-тоскливого настроения с постепенно накипающим раздражением и поиском объекта, на котором можно было бы сорвать зло. С этими состояниями обычно связана аффективная взрывчатость. Аффекты не только сильны, но и продолжительны. Большим напряжением отличается инстинктивная жизнь. Любовь почти всегда окрашена ревностью. Алкогольные опьянения часто протекают тяжело — с гневом и агрессией. Лидерство проявляется в стремлении властвовать над другими. Неплохо адаптируются в условиях строгого дисциплинарного режима, где стараются подольститься к начальству показной исполнительностью и завладеть положением, дающим власть над другими подростками. Инертность, тугоподвижность, вязкость накладывают отпечаток на всю психику — от моторики и эмоций до мышления и личностных ценностей. Говорят медленно, веско, никогда не суетятся. Любят культивировать в себе физическую силу, предпочитают силовые виды спорта. Решения принимают не торопясь, весьма осмотрительно, из-за этого иногда пропускают момент, когда надо быстро действовать. Но в аффекте от медлительности не остается и следа, легко теряют контроль над собой, действуют импульсивно, в неподходящей ситуации могут разразиться потоком брани, нанести побои. Властолюбие сочетается со стремлением наводить «свои порядки», нетерпимостью к инакомыслию. Злопамятны в отношении нанесенных им обид и причиненного ущерба, даже незначительного — очень мстительны и изобретательны в способах мести. Мелочная аккуратность, скрупулезность, дотошное соблюдение всех правил, даже в ущерб делу, допекающий окружающих педантизм рассматриваются как компенсация собственной инертности. Педантичная аккуратность видна по одежде, прическе, предпочтению порядка во всем. Самооценка обычно однобокая: отмечается приверженность к порядку и аккуратности, нелюбовь пустых мечтаний и предпочтение жить реальной жизнью; в остальном обычно представляют себя более конформными, чем есть на самом деле.</t>
    </r>
  </si>
  <si>
    <t>С - сенситивный,</t>
  </si>
  <si>
    <t>Шкала повышенной откровенности.(Если Т&gt;Д)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</si>
</sst>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4"/>
      <name val="Times New Roman"/>
      <family val="1"/>
      <charset val="204"/>
    </font>
    <font>
      <b/>
      <sz val="10"/>
      <name val="Times New Roman"/>
      <family val="1"/>
      <charset val="204"/>
    </font>
    <font>
      <sz val="10"/>
      <name val="Times New Roman"/>
      <family val="1"/>
      <charset val="204"/>
    </font>
    <font>
      <sz val="12"/>
      <name val="Times New Roman"/>
      <family val="1"/>
      <charset val="204"/>
    </font>
    <font>
      <i/>
      <sz val="12"/>
      <name val="Times New Roman"/>
      <family val="1"/>
      <charset val="204"/>
    </font>
    <font>
      <sz val="10"/>
      <name val="Arial"/>
      <family val="2"/>
      <charset val="204"/>
    </font>
    <font>
      <sz val="14"/>
      <name val="Times New Roman"/>
      <family val="1"/>
      <charset val="204"/>
    </font>
    <font>
      <sz val="12"/>
      <name val="Arial"/>
      <family val="2"/>
      <charset val="204"/>
    </font>
    <font>
      <b/>
      <sz val="12"/>
      <name val="Arial"/>
      <family val="2"/>
      <charset val="204"/>
    </font>
    <font>
      <sz val="10"/>
      <name val="Calibri"/>
      <family val="2"/>
      <charset val="204"/>
      <scheme val="minor"/>
    </font>
    <font>
      <sz val="12"/>
      <color rgb="FF1E1E1E"/>
      <name val="Arial"/>
      <family val="2"/>
      <charset val="204"/>
    </font>
    <font>
      <b/>
      <sz val="12"/>
      <color rgb="FF1E1E1E"/>
      <name val="Calibri"/>
      <family val="2"/>
      <charset val="204"/>
      <scheme val="minor"/>
    </font>
    <font>
      <b/>
      <sz val="12"/>
      <name val="Calibri"/>
      <family val="2"/>
      <charset val="204"/>
      <scheme val="minor"/>
    </font>
    <font>
      <sz val="12"/>
      <name val="Calibri"/>
      <family val="2"/>
      <charset val="204"/>
      <scheme val="minor"/>
    </font>
    <font>
      <sz val="12"/>
      <name val="Times New Roman"/>
      <family val="1"/>
      <charset val="204"/>
    </font>
    <font>
      <sz val="10"/>
      <color rgb="FF1D2126"/>
      <name val="Arial"/>
      <family val="2"/>
      <charset val="204"/>
    </font>
    <font>
      <sz val="11"/>
      <name val="Arial"/>
      <family val="2"/>
      <charset val="204"/>
    </font>
    <font>
      <b/>
      <sz val="10"/>
      <name val="Arial"/>
      <family val="2"/>
      <charset val="204"/>
    </font>
    <font>
      <b/>
      <sz val="12"/>
      <name val="Times New Roman"/>
      <family val="1"/>
      <charset val="204"/>
    </font>
    <font>
      <b/>
      <sz val="11"/>
      <name val="Arial"/>
      <family val="2"/>
      <charset val="204"/>
    </font>
    <font>
      <sz val="11"/>
      <name val="Times New Roman"/>
      <family val="1"/>
      <charset val="204"/>
    </font>
    <font>
      <b/>
      <u/>
      <sz val="14"/>
      <name val="Arial"/>
      <family val="2"/>
      <charset val="204"/>
    </font>
    <font>
      <b/>
      <u/>
      <sz val="12"/>
      <name val="Arial"/>
      <family val="2"/>
      <charset val="204"/>
    </font>
    <font>
      <b/>
      <u/>
      <sz val="10"/>
      <name val="Arial"/>
      <family val="2"/>
      <charset val="204"/>
    </font>
    <font>
      <b/>
      <sz val="10"/>
      <color rgb="FF402000"/>
      <name val="Arial"/>
      <family val="2"/>
      <charset val="204"/>
    </font>
    <font>
      <b/>
      <u/>
      <sz val="12"/>
      <color rgb="FFFF0000"/>
      <name val="Arial"/>
      <family val="2"/>
      <charset val="204"/>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4" tint="0.59999389629810485"/>
        <bgColor indexed="64"/>
      </patternFill>
    </fill>
  </fills>
  <borders count="71">
    <border>
      <left/>
      <right/>
      <top/>
      <bottom/>
      <diagonal/>
    </border>
    <border>
      <left/>
      <right/>
      <top/>
      <bottom/>
      <diagonal/>
    </border>
    <border>
      <left/>
      <right/>
      <top/>
      <bottom/>
      <diagonal/>
    </border>
    <border>
      <left/>
      <right/>
      <top/>
      <bottom/>
      <diagonal/>
    </border>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auto="1"/>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95">
    <xf numFmtId="0" fontId="0" fillId="0" borderId="0" xfId="0"/>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horizontal="left"/>
    </xf>
    <xf numFmtId="0" fontId="0" fillId="0" borderId="17" xfId="0" applyBorder="1"/>
    <xf numFmtId="0" fontId="0" fillId="0" borderId="17" xfId="0" applyBorder="1" applyAlignment="1">
      <alignment horizontal="left"/>
    </xf>
    <xf numFmtId="0" fontId="0" fillId="0" borderId="17" xfId="0" applyBorder="1" applyAlignment="1">
      <alignment horizontal="left" vertical="top"/>
    </xf>
    <xf numFmtId="0" fontId="0" fillId="0" borderId="4" xfId="0" applyBorder="1"/>
    <xf numFmtId="0" fontId="0" fillId="0" borderId="4" xfId="0" applyBorder="1" applyAlignment="1">
      <alignment horizontal="center"/>
    </xf>
    <xf numFmtId="0" fontId="9" fillId="3" borderId="24"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left" vertical="top" indent="2"/>
    </xf>
    <xf numFmtId="0" fontId="10" fillId="0" borderId="4" xfId="0" applyFont="1" applyBorder="1"/>
    <xf numFmtId="0" fontId="10" fillId="0" borderId="4" xfId="0" applyFont="1" applyBorder="1" applyAlignment="1">
      <alignment horizontal="center" vertical="top"/>
    </xf>
    <xf numFmtId="0" fontId="10" fillId="0" borderId="4" xfId="0" applyFont="1" applyBorder="1" applyAlignment="1">
      <alignment horizontal="center"/>
    </xf>
    <xf numFmtId="0" fontId="10" fillId="0" borderId="4" xfId="0" applyFont="1" applyBorder="1" applyAlignment="1">
      <alignment horizontal="center" vertical="center"/>
    </xf>
    <xf numFmtId="0" fontId="8" fillId="0" borderId="4" xfId="0" applyFont="1" applyFill="1" applyBorder="1" applyAlignment="1">
      <alignment horizontal="center"/>
    </xf>
    <xf numFmtId="0" fontId="0" fillId="0" borderId="4" xfId="0" applyFill="1" applyBorder="1" applyAlignment="1"/>
    <xf numFmtId="0" fontId="10" fillId="0" borderId="4" xfId="0" applyFont="1" applyFill="1" applyBorder="1" applyAlignment="1">
      <alignment horizontal="center"/>
    </xf>
    <xf numFmtId="0" fontId="10" fillId="0" borderId="4"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17" xfId="0" applyFont="1" applyFill="1" applyBorder="1" applyAlignment="1">
      <alignment horizontal="center" vertical="center"/>
    </xf>
    <xf numFmtId="0" fontId="8" fillId="0" borderId="17" xfId="0" applyFont="1" applyBorder="1" applyAlignment="1">
      <alignment horizontal="center" vertical="center"/>
    </xf>
    <xf numFmtId="0" fontId="0" fillId="0" borderId="4" xfId="0" applyBorder="1" applyAlignment="1">
      <alignment horizontal="left" vertical="top"/>
    </xf>
    <xf numFmtId="0" fontId="0" fillId="0" borderId="4" xfId="0" applyBorder="1" applyAlignment="1">
      <alignment horizontal="left" vertical="center"/>
    </xf>
    <xf numFmtId="0" fontId="1" fillId="0" borderId="4" xfId="0" applyFont="1" applyBorder="1" applyAlignment="1">
      <alignment horizontal="left"/>
    </xf>
    <xf numFmtId="0" fontId="8" fillId="0" borderId="0" xfId="0" applyFont="1"/>
    <xf numFmtId="0" fontId="8" fillId="0" borderId="4" xfId="0" applyFont="1" applyBorder="1" applyAlignment="1">
      <alignment horizontal="left" vertical="top"/>
    </xf>
    <xf numFmtId="0" fontId="8" fillId="0" borderId="4" xfId="0" applyFont="1" applyBorder="1" applyAlignment="1">
      <alignment horizontal="center" vertical="center"/>
    </xf>
    <xf numFmtId="0" fontId="8" fillId="2" borderId="17" xfId="0" applyFont="1" applyFill="1" applyBorder="1" applyAlignment="1">
      <alignment horizontal="center" vertical="center"/>
    </xf>
    <xf numFmtId="0" fontId="8" fillId="0" borderId="17" xfId="0" applyFont="1" applyBorder="1" applyAlignment="1">
      <alignment horizontal="center"/>
    </xf>
    <xf numFmtId="0" fontId="0" fillId="0" borderId="4" xfId="0" applyFill="1" applyBorder="1" applyAlignment="1">
      <alignment horizontal="center" vertical="center"/>
    </xf>
    <xf numFmtId="0" fontId="0" fillId="0" borderId="4" xfId="0" applyFill="1" applyBorder="1" applyAlignment="1">
      <alignment horizontal="left"/>
    </xf>
    <xf numFmtId="0" fontId="8" fillId="0" borderId="17" xfId="0" applyFont="1" applyFill="1" applyBorder="1" applyAlignment="1">
      <alignment horizontal="center" vertical="center"/>
    </xf>
    <xf numFmtId="0" fontId="8" fillId="3" borderId="17" xfId="0" applyFont="1" applyFill="1" applyBorder="1" applyAlignment="1">
      <alignment horizontal="center" vertical="center"/>
    </xf>
    <xf numFmtId="0" fontId="0" fillId="3" borderId="17" xfId="0" applyFill="1" applyBorder="1" applyAlignment="1">
      <alignment horizontal="center"/>
    </xf>
    <xf numFmtId="0" fontId="8" fillId="0" borderId="17" xfId="0" applyFont="1" applyFill="1" applyBorder="1" applyAlignment="1">
      <alignment horizontal="center" vertical="top"/>
    </xf>
    <xf numFmtId="0" fontId="0" fillId="0" borderId="0" xfId="0" applyFill="1"/>
    <xf numFmtId="0" fontId="10" fillId="0" borderId="4" xfId="0" applyFont="1" applyFill="1" applyBorder="1"/>
    <xf numFmtId="0" fontId="0" fillId="3" borderId="18" xfId="0" applyFill="1" applyBorder="1" applyAlignment="1">
      <alignment horizontal="center"/>
    </xf>
    <xf numFmtId="0" fontId="8" fillId="3" borderId="17" xfId="0" applyFont="1" applyFill="1" applyBorder="1" applyAlignment="1">
      <alignment vertical="center"/>
    </xf>
    <xf numFmtId="0" fontId="8" fillId="3" borderId="17" xfId="0" applyFont="1" applyFill="1" applyBorder="1" applyAlignment="1">
      <alignment horizontal="center"/>
    </xf>
    <xf numFmtId="0" fontId="8" fillId="3" borderId="17" xfId="0" applyFont="1" applyFill="1" applyBorder="1"/>
    <xf numFmtId="0" fontId="10" fillId="3" borderId="17" xfId="0" applyFont="1" applyFill="1" applyBorder="1" applyAlignment="1">
      <alignment horizontal="center"/>
    </xf>
    <xf numFmtId="0" fontId="8" fillId="0" borderId="17" xfId="0" applyFont="1" applyFill="1" applyBorder="1"/>
    <xf numFmtId="0" fontId="8" fillId="0" borderId="17" xfId="0" applyFont="1" applyBorder="1"/>
    <xf numFmtId="0" fontId="8" fillId="0" borderId="17" xfId="0" applyFont="1" applyFill="1" applyBorder="1" applyAlignment="1">
      <alignment horizontal="center"/>
    </xf>
    <xf numFmtId="0" fontId="8" fillId="4" borderId="17" xfId="0" applyFont="1" applyFill="1" applyBorder="1" applyAlignment="1">
      <alignment horizontal="center" vertical="center"/>
    </xf>
    <xf numFmtId="0" fontId="14" fillId="0" borderId="17" xfId="0" applyFont="1" applyBorder="1" applyAlignment="1">
      <alignment horizontal="center" vertical="center"/>
    </xf>
    <xf numFmtId="0" fontId="14" fillId="0" borderId="17" xfId="0" applyFont="1" applyBorder="1" applyAlignment="1">
      <alignment horizontal="center"/>
    </xf>
    <xf numFmtId="0" fontId="8" fillId="0" borderId="17" xfId="0" applyFont="1" applyBorder="1" applyAlignment="1">
      <alignment horizontal="center" vertical="top"/>
    </xf>
    <xf numFmtId="0" fontId="15" fillId="0" borderId="17" xfId="0" applyFont="1" applyBorder="1" applyAlignment="1">
      <alignment horizontal="center"/>
    </xf>
    <xf numFmtId="0" fontId="8" fillId="0" borderId="18" xfId="0" applyFont="1" applyFill="1" applyBorder="1" applyAlignment="1">
      <alignment horizontal="center"/>
    </xf>
    <xf numFmtId="0" fontId="8" fillId="0" borderId="18" xfId="0" applyFont="1" applyBorder="1" applyAlignment="1">
      <alignment horizontal="center"/>
    </xf>
    <xf numFmtId="0" fontId="6" fillId="0" borderId="0" xfId="0" applyFont="1"/>
    <xf numFmtId="0" fontId="6" fillId="0" borderId="27" xfId="0" applyFont="1" applyBorder="1"/>
    <xf numFmtId="0" fontId="0" fillId="0" borderId="28" xfId="0" applyBorder="1"/>
    <xf numFmtId="0" fontId="0" fillId="0" borderId="29" xfId="0" applyBorder="1"/>
    <xf numFmtId="0" fontId="16" fillId="0" borderId="0" xfId="0" applyFont="1"/>
    <xf numFmtId="0" fontId="8" fillId="3" borderId="20" xfId="0" applyFont="1" applyFill="1" applyBorder="1" applyAlignment="1">
      <alignment horizontal="center" vertical="center"/>
    </xf>
    <xf numFmtId="0" fontId="0" fillId="0" borderId="4" xfId="0" applyBorder="1" applyAlignment="1">
      <alignment horizontal="left" vertical="top" indent="1"/>
    </xf>
    <xf numFmtId="0" fontId="0" fillId="0" borderId="4" xfId="0" applyBorder="1" applyAlignment="1">
      <alignment horizontal="left" wrapText="1"/>
    </xf>
    <xf numFmtId="0" fontId="0" fillId="0" borderId="4" xfId="0" applyBorder="1" applyAlignment="1">
      <alignment vertical="top" wrapText="1"/>
    </xf>
    <xf numFmtId="0" fontId="0" fillId="0" borderId="4" xfId="0" applyBorder="1" applyAlignment="1">
      <alignment vertical="center"/>
    </xf>
    <xf numFmtId="0" fontId="0" fillId="0" borderId="4" xfId="0" applyBorder="1" applyAlignment="1"/>
    <xf numFmtId="0" fontId="0" fillId="0" borderId="4" xfId="0" applyFill="1" applyBorder="1"/>
    <xf numFmtId="0" fontId="8" fillId="0" borderId="4" xfId="0" applyFont="1" applyFill="1" applyBorder="1" applyAlignment="1">
      <alignment horizontal="center" vertical="center"/>
    </xf>
    <xf numFmtId="0" fontId="9" fillId="0" borderId="13" xfId="0" applyFont="1" applyBorder="1" applyAlignment="1">
      <alignment horizont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0" fillId="2" borderId="17" xfId="0" applyFill="1" applyBorder="1"/>
    <xf numFmtId="0" fontId="0" fillId="2" borderId="20" xfId="0" applyFill="1" applyBorder="1"/>
    <xf numFmtId="0" fontId="6" fillId="0" borderId="17" xfId="0" applyFont="1" applyBorder="1"/>
    <xf numFmtId="0" fontId="10" fillId="3" borderId="20" xfId="0" applyFont="1" applyFill="1" applyBorder="1" applyAlignment="1">
      <alignment horizontal="center"/>
    </xf>
    <xf numFmtId="0" fontId="6" fillId="0" borderId="30" xfId="0" applyFont="1" applyBorder="1"/>
    <xf numFmtId="0" fontId="0" fillId="0" borderId="25" xfId="0" applyBorder="1"/>
    <xf numFmtId="0" fontId="0" fillId="0" borderId="31" xfId="0" applyBorder="1"/>
    <xf numFmtId="0" fontId="0" fillId="0" borderId="17" xfId="0" applyBorder="1" applyAlignment="1">
      <alignment horizontal="center"/>
    </xf>
    <xf numFmtId="0" fontId="9" fillId="0" borderId="17" xfId="0" applyFont="1" applyBorder="1" applyAlignment="1">
      <alignment horizontal="center"/>
    </xf>
    <xf numFmtId="0" fontId="9" fillId="3" borderId="17" xfId="0" applyFont="1" applyFill="1" applyBorder="1" applyAlignment="1">
      <alignment horizontal="center"/>
    </xf>
    <xf numFmtId="0" fontId="0" fillId="0" borderId="20" xfId="0" applyBorder="1"/>
    <xf numFmtId="0" fontId="6" fillId="0" borderId="4" xfId="0" applyFont="1" applyFill="1" applyBorder="1" applyAlignment="1">
      <alignment horizontal="center" vertical="center"/>
    </xf>
    <xf numFmtId="0" fontId="4" fillId="0" borderId="0" xfId="0" applyFont="1"/>
    <xf numFmtId="0" fontId="6" fillId="3" borderId="17" xfId="0" applyFont="1" applyFill="1" applyBorder="1"/>
    <xf numFmtId="0" fontId="8" fillId="0" borderId="17" xfId="0" applyFont="1" applyBorder="1" applyAlignment="1">
      <alignment horizontal="left"/>
    </xf>
    <xf numFmtId="0" fontId="20" fillId="3" borderId="32"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37"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37"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4" xfId="0" applyFont="1" applyFill="1" applyBorder="1" applyAlignment="1">
      <alignment horizontal="center" vertical="center"/>
    </xf>
    <xf numFmtId="0" fontId="9" fillId="6" borderId="13" xfId="0" applyFont="1" applyFill="1" applyBorder="1" applyAlignment="1">
      <alignment horizontal="center"/>
    </xf>
    <xf numFmtId="0" fontId="2" fillId="3" borderId="37" xfId="0" applyFont="1" applyFill="1" applyBorder="1" applyAlignment="1">
      <alignment horizontal="center" vertical="center" wrapText="1"/>
    </xf>
    <xf numFmtId="0" fontId="6" fillId="3" borderId="38" xfId="0" applyFont="1" applyFill="1" applyBorder="1"/>
    <xf numFmtId="0" fontId="18" fillId="0" borderId="4" xfId="0" applyFont="1" applyFill="1" applyBorder="1" applyAlignment="1">
      <alignment horizontal="center" vertical="center"/>
    </xf>
    <xf numFmtId="0" fontId="6" fillId="0" borderId="7" xfId="0" applyFont="1" applyFill="1" applyBorder="1" applyAlignment="1"/>
    <xf numFmtId="0" fontId="18" fillId="0" borderId="13" xfId="0" applyFont="1" applyBorder="1" applyAlignment="1">
      <alignment horizontal="center" vertical="center"/>
    </xf>
    <xf numFmtId="0" fontId="3" fillId="0" borderId="0" xfId="0" applyFont="1" applyAlignment="1">
      <alignment vertical="center" wrapText="1"/>
    </xf>
    <xf numFmtId="0" fontId="4" fillId="0" borderId="0" xfId="0" applyFont="1" applyAlignment="1">
      <alignment vertical="center"/>
    </xf>
    <xf numFmtId="0" fontId="9" fillId="6" borderId="7" xfId="0" applyFont="1" applyFill="1" applyBorder="1" applyAlignment="1">
      <alignment horizontal="center"/>
    </xf>
    <xf numFmtId="0" fontId="8" fillId="0" borderId="4" xfId="0" applyFont="1" applyFill="1" applyBorder="1" applyAlignment="1"/>
    <xf numFmtId="0" fontId="0" fillId="7" borderId="0" xfId="0" applyFill="1"/>
    <xf numFmtId="0" fontId="9" fillId="0" borderId="4" xfId="0" applyFont="1" applyFill="1" applyBorder="1" applyAlignment="1">
      <alignment horizontal="center"/>
    </xf>
    <xf numFmtId="0" fontId="9" fillId="0" borderId="4"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7" xfId="0" applyFont="1" applyFill="1" applyBorder="1" applyAlignment="1">
      <alignment horizontal="center"/>
    </xf>
    <xf numFmtId="0" fontId="0" fillId="3" borderId="14" xfId="0" applyFill="1" applyBorder="1"/>
    <xf numFmtId="0" fontId="9" fillId="3" borderId="17" xfId="0" applyFont="1" applyFill="1" applyBorder="1" applyAlignment="1"/>
    <xf numFmtId="0" fontId="0" fillId="3" borderId="17" xfId="0" applyFill="1" applyBorder="1" applyAlignment="1"/>
    <xf numFmtId="0" fontId="9" fillId="0" borderId="13" xfId="0" applyFont="1" applyBorder="1" applyAlignment="1" applyProtection="1">
      <alignment horizontal="center"/>
      <protection locked="0"/>
    </xf>
    <xf numFmtId="0" fontId="18" fillId="0" borderId="13" xfId="0" applyFont="1" applyFill="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8" fillId="3" borderId="26" xfId="0" applyFont="1" applyFill="1" applyBorder="1" applyAlignment="1"/>
    <xf numFmtId="0" fontId="18" fillId="3" borderId="23" xfId="0" applyFont="1" applyFill="1" applyBorder="1" applyAlignment="1">
      <alignment vertical="center"/>
    </xf>
    <xf numFmtId="0" fontId="18" fillId="3" borderId="18" xfId="0" applyFont="1" applyFill="1" applyBorder="1" applyAlignment="1">
      <alignment vertical="center"/>
    </xf>
    <xf numFmtId="0" fontId="9" fillId="5" borderId="13" xfId="0" applyFont="1" applyFill="1" applyBorder="1" applyAlignment="1">
      <alignment horizontal="center"/>
    </xf>
    <xf numFmtId="0" fontId="9" fillId="6" borderId="13" xfId="0" applyFont="1" applyFill="1" applyBorder="1" applyAlignment="1">
      <alignment horizontal="center" vertical="center"/>
    </xf>
    <xf numFmtId="0" fontId="18" fillId="3" borderId="17" xfId="0" applyFont="1" applyFill="1" applyBorder="1" applyAlignment="1">
      <alignment horizontal="center" vertical="center"/>
    </xf>
    <xf numFmtId="0" fontId="0" fillId="3" borderId="17" xfId="0" applyFill="1" applyBorder="1"/>
    <xf numFmtId="0" fontId="8" fillId="3" borderId="18" xfId="0" applyFont="1" applyFill="1" applyBorder="1" applyAlignment="1">
      <alignment horizontal="center" vertical="center"/>
    </xf>
    <xf numFmtId="0" fontId="0" fillId="0" borderId="17" xfId="0" applyFill="1" applyBorder="1"/>
    <xf numFmtId="0" fontId="6" fillId="3" borderId="20" xfId="0" applyFont="1" applyFill="1" applyBorder="1" applyAlignment="1">
      <alignment horizontal="center" vertical="center"/>
    </xf>
    <xf numFmtId="0" fontId="6" fillId="3" borderId="17" xfId="0" applyFont="1" applyFill="1" applyBorder="1" applyAlignment="1">
      <alignment horizontal="center" vertical="center"/>
    </xf>
    <xf numFmtId="0" fontId="0" fillId="2" borderId="22" xfId="0" applyFill="1" applyBorder="1"/>
    <xf numFmtId="0" fontId="0" fillId="0" borderId="4" xfId="0" applyFill="1" applyBorder="1" applyAlignment="1">
      <alignment horizontal="center"/>
    </xf>
    <xf numFmtId="0" fontId="6" fillId="2" borderId="17" xfId="0" applyFont="1" applyFill="1" applyBorder="1"/>
    <xf numFmtId="0" fontId="0" fillId="0" borderId="40" xfId="0" applyBorder="1"/>
    <xf numFmtId="0" fontId="6" fillId="3" borderId="22" xfId="0" applyFont="1" applyFill="1" applyBorder="1"/>
    <xf numFmtId="0" fontId="6" fillId="0" borderId="4" xfId="0" applyFont="1" applyFill="1" applyBorder="1"/>
    <xf numFmtId="0" fontId="0" fillId="0" borderId="17" xfId="0" applyBorder="1" applyAlignment="1">
      <alignment horizontal="center"/>
    </xf>
    <xf numFmtId="0" fontId="0" fillId="0" borderId="4" xfId="0" applyBorder="1" applyAlignment="1">
      <alignment vertical="center" wrapText="1"/>
    </xf>
    <xf numFmtId="0" fontId="6" fillId="0" borderId="4" xfId="0" applyFont="1" applyBorder="1" applyAlignment="1">
      <alignment vertical="center" wrapText="1"/>
    </xf>
    <xf numFmtId="0" fontId="0" fillId="3" borderId="24" xfId="0" applyFill="1" applyBorder="1"/>
    <xf numFmtId="0" fontId="18" fillId="3" borderId="32" xfId="0" applyFont="1" applyFill="1" applyBorder="1" applyAlignment="1">
      <alignment horizontal="center"/>
    </xf>
    <xf numFmtId="0" fontId="18" fillId="3" borderId="33" xfId="0" applyFont="1" applyFill="1" applyBorder="1" applyAlignment="1">
      <alignment horizontal="center"/>
    </xf>
    <xf numFmtId="0" fontId="18" fillId="3" borderId="34" xfId="0" applyFont="1" applyFill="1" applyBorder="1" applyAlignment="1">
      <alignment vertical="center" wrapText="1"/>
    </xf>
    <xf numFmtId="0" fontId="0" fillId="0" borderId="35" xfId="0" applyBorder="1" applyAlignment="1">
      <alignment horizontal="center"/>
    </xf>
    <xf numFmtId="0" fontId="18" fillId="3" borderId="36" xfId="0" applyFont="1" applyFill="1" applyBorder="1" applyAlignment="1">
      <alignment vertical="center" wrapText="1"/>
    </xf>
    <xf numFmtId="0" fontId="0" fillId="0" borderId="37" xfId="0" applyBorder="1"/>
    <xf numFmtId="0" fontId="0" fillId="0" borderId="37" xfId="0" applyBorder="1" applyAlignment="1">
      <alignment horizontal="center"/>
    </xf>
    <xf numFmtId="0" fontId="0" fillId="0" borderId="10" xfId="0" applyBorder="1"/>
    <xf numFmtId="0" fontId="0" fillId="0" borderId="11" xfId="0" applyBorder="1"/>
    <xf numFmtId="0" fontId="17" fillId="0" borderId="4" xfId="0" applyFont="1" applyBorder="1" applyAlignment="1">
      <alignment vertical="top" wrapText="1"/>
    </xf>
    <xf numFmtId="0" fontId="6" fillId="0" borderId="4" xfId="0" applyFont="1" applyBorder="1" applyAlignment="1">
      <alignment vertical="top" wrapText="1"/>
    </xf>
    <xf numFmtId="0" fontId="2" fillId="0" borderId="4" xfId="0" applyFont="1" applyBorder="1" applyAlignment="1">
      <alignment horizontal="center" vertical="center" wrapText="1"/>
    </xf>
    <xf numFmtId="0" fontId="8" fillId="3" borderId="25" xfId="0" applyFont="1" applyFill="1" applyBorder="1" applyAlignment="1">
      <alignment horizontal="center" vertical="center"/>
    </xf>
    <xf numFmtId="0" fontId="6" fillId="0" borderId="4" xfId="0" applyFont="1" applyBorder="1" applyAlignment="1">
      <alignment wrapText="1"/>
    </xf>
    <xf numFmtId="0" fontId="18" fillId="3" borderId="44" xfId="0" applyFont="1" applyFill="1" applyBorder="1" applyAlignment="1">
      <alignment horizontal="center"/>
    </xf>
    <xf numFmtId="0" fontId="18" fillId="0" borderId="45" xfId="0" applyFont="1" applyBorder="1" applyAlignment="1">
      <alignment horizontal="center"/>
    </xf>
    <xf numFmtId="0" fontId="18" fillId="3" borderId="46" xfId="0" applyFont="1" applyFill="1" applyBorder="1" applyAlignment="1">
      <alignment horizontal="center"/>
    </xf>
    <xf numFmtId="0" fontId="18" fillId="0" borderId="47" xfId="0" applyFont="1" applyBorder="1" applyAlignment="1">
      <alignment horizontal="center"/>
    </xf>
    <xf numFmtId="0" fontId="18" fillId="0" borderId="13" xfId="0" applyFont="1" applyBorder="1" applyAlignment="1">
      <alignment horizontal="center"/>
    </xf>
    <xf numFmtId="0" fontId="18" fillId="3" borderId="13" xfId="0" applyFont="1" applyFill="1" applyBorder="1" applyAlignment="1">
      <alignment horizontal="center"/>
    </xf>
    <xf numFmtId="0" fontId="0" fillId="0" borderId="17" xfId="0" applyBorder="1" applyAlignment="1">
      <alignment horizontal="center"/>
    </xf>
    <xf numFmtId="0" fontId="3" fillId="0" borderId="17" xfId="0" applyFont="1" applyBorder="1" applyAlignment="1">
      <alignment horizontal="center" vertical="center" wrapText="1"/>
    </xf>
    <xf numFmtId="0" fontId="0" fillId="0" borderId="22" xfId="0" applyBorder="1"/>
    <xf numFmtId="0" fontId="0" fillId="0" borderId="0" xfId="0" applyAlignment="1">
      <alignment horizontal="left"/>
    </xf>
    <xf numFmtId="0" fontId="17" fillId="0" borderId="4" xfId="0" applyFont="1" applyBorder="1" applyAlignment="1">
      <alignment horizontal="left" vertical="top" wrapText="1"/>
    </xf>
    <xf numFmtId="0" fontId="0" fillId="0" borderId="0" xfId="0" applyAlignment="1">
      <alignment wrapText="1"/>
    </xf>
    <xf numFmtId="0" fontId="18" fillId="3" borderId="13" xfId="0" applyFont="1" applyFill="1" applyBorder="1" applyAlignment="1">
      <alignment horizontal="center" vertical="center"/>
    </xf>
    <xf numFmtId="0" fontId="18" fillId="3" borderId="13" xfId="0" applyFont="1" applyFill="1" applyBorder="1" applyAlignment="1">
      <alignment horizontal="center" wrapText="1"/>
    </xf>
    <xf numFmtId="0" fontId="0" fillId="0" borderId="17" xfId="0" applyFill="1" applyBorder="1" applyAlignment="1">
      <alignment horizontal="center"/>
    </xf>
    <xf numFmtId="0" fontId="18" fillId="3" borderId="17" xfId="0" applyFont="1" applyFill="1" applyBorder="1" applyAlignment="1">
      <alignment horizontal="center"/>
    </xf>
    <xf numFmtId="0" fontId="6" fillId="3" borderId="17" xfId="0" applyFont="1" applyFill="1" applyBorder="1" applyAlignment="1">
      <alignment horizontal="center"/>
    </xf>
    <xf numFmtId="0" fontId="18" fillId="3" borderId="22" xfId="0" applyFont="1" applyFill="1" applyBorder="1" applyAlignment="1">
      <alignment horizontal="center"/>
    </xf>
    <xf numFmtId="0" fontId="6" fillId="8" borderId="40" xfId="0" applyFont="1" applyFill="1" applyBorder="1"/>
    <xf numFmtId="0" fontId="18" fillId="0" borderId="4" xfId="0" applyFont="1" applyBorder="1" applyAlignment="1">
      <alignment vertical="center" wrapText="1"/>
    </xf>
    <xf numFmtId="0" fontId="18" fillId="8" borderId="17" xfId="0" applyFont="1" applyFill="1" applyBorder="1" applyAlignment="1">
      <alignment horizontal="center" vertical="center" wrapText="1"/>
    </xf>
    <xf numFmtId="0" fontId="0" fillId="8" borderId="17" xfId="0" applyFill="1" applyBorder="1"/>
    <xf numFmtId="0" fontId="0" fillId="8" borderId="17" xfId="0" applyFill="1" applyBorder="1" applyAlignment="1">
      <alignment horizontal="center"/>
    </xf>
    <xf numFmtId="0" fontId="0" fillId="0" borderId="40" xfId="0" applyFill="1" applyBorder="1" applyAlignment="1">
      <alignment horizontal="center"/>
    </xf>
    <xf numFmtId="0" fontId="0" fillId="0" borderId="41" xfId="0" applyFill="1" applyBorder="1" applyAlignment="1">
      <alignment horizontal="center"/>
    </xf>
    <xf numFmtId="0" fontId="18" fillId="8" borderId="17" xfId="0" applyFont="1" applyFill="1" applyBorder="1" applyAlignment="1">
      <alignment horizontal="center"/>
    </xf>
    <xf numFmtId="0" fontId="7" fillId="0" borderId="4" xfId="0" applyFont="1" applyFill="1" applyBorder="1" applyAlignment="1">
      <alignment horizontal="center" vertical="top"/>
    </xf>
    <xf numFmtId="0" fontId="0" fillId="0" borderId="4" xfId="0" applyFill="1" applyBorder="1" applyAlignment="1">
      <alignment horizontal="left" vertical="top"/>
    </xf>
    <xf numFmtId="0" fontId="7" fillId="0" borderId="4" xfId="0" applyFont="1" applyFill="1" applyBorder="1" applyAlignment="1">
      <alignment horizontal="center"/>
    </xf>
    <xf numFmtId="0" fontId="0" fillId="0" borderId="4" xfId="0" applyFill="1" applyBorder="1" applyAlignment="1">
      <alignment horizontal="justify" vertical="top"/>
    </xf>
    <xf numFmtId="0" fontId="0" fillId="0" borderId="4" xfId="0" applyFill="1" applyBorder="1" applyAlignment="1">
      <alignment horizontal="center" vertical="top"/>
    </xf>
    <xf numFmtId="0" fontId="7" fillId="0" borderId="4" xfId="0" applyFont="1" applyFill="1" applyBorder="1" applyAlignment="1">
      <alignment horizontal="center" vertical="center"/>
    </xf>
    <xf numFmtId="0" fontId="1" fillId="0" borderId="4" xfId="0" applyFont="1" applyFill="1" applyBorder="1" applyAlignment="1">
      <alignment horizontal="left"/>
    </xf>
    <xf numFmtId="0" fontId="1" fillId="0" borderId="4" xfId="0" applyFont="1" applyFill="1" applyBorder="1" applyAlignment="1">
      <alignment horizontal="center"/>
    </xf>
    <xf numFmtId="0" fontId="0" fillId="0" borderId="4" xfId="0" applyFill="1" applyBorder="1" applyAlignment="1">
      <alignment horizontal="left" vertical="center"/>
    </xf>
    <xf numFmtId="0" fontId="0" fillId="0" borderId="4" xfId="0" applyFill="1" applyBorder="1" applyAlignment="1">
      <alignment horizontal="left" vertical="center" indent="2"/>
    </xf>
    <xf numFmtId="0" fontId="0" fillId="0" borderId="4" xfId="0" applyFill="1" applyBorder="1" applyAlignment="1">
      <alignment horizontal="left" vertical="top" indent="2"/>
    </xf>
    <xf numFmtId="0" fontId="0" fillId="0" borderId="4" xfId="0" applyFill="1" applyBorder="1" applyAlignment="1">
      <alignment horizontal="left" indent="2"/>
    </xf>
    <xf numFmtId="0" fontId="1" fillId="0" borderId="4" xfId="0" applyFont="1" applyFill="1" applyBorder="1" applyAlignment="1">
      <alignment horizontal="center" vertical="top"/>
    </xf>
    <xf numFmtId="0" fontId="1" fillId="0" borderId="4" xfId="0" applyFont="1" applyFill="1" applyBorder="1" applyAlignment="1">
      <alignment horizontal="center" vertical="center"/>
    </xf>
    <xf numFmtId="0" fontId="7" fillId="0" borderId="4" xfId="0" applyFont="1" applyFill="1" applyBorder="1" applyAlignment="1">
      <alignment horizontal="left" vertical="top" indent="2"/>
    </xf>
    <xf numFmtId="0" fontId="6" fillId="0" borderId="4" xfId="0" applyFont="1" applyFill="1" applyBorder="1" applyAlignment="1">
      <alignment wrapText="1"/>
    </xf>
    <xf numFmtId="0" fontId="6" fillId="0" borderId="4" xfId="0" applyFont="1" applyFill="1" applyBorder="1" applyAlignment="1">
      <alignment vertical="top" wrapText="1"/>
    </xf>
    <xf numFmtId="0" fontId="0" fillId="0" borderId="0" xfId="0" applyAlignment="1">
      <alignment vertical="top" wrapText="1"/>
    </xf>
    <xf numFmtId="0" fontId="0" fillId="0" borderId="4" xfId="0" applyFill="1" applyBorder="1" applyAlignment="1">
      <alignment vertical="top" wrapText="1"/>
    </xf>
    <xf numFmtId="0" fontId="0" fillId="2" borderId="18" xfId="0" applyFill="1" applyBorder="1"/>
    <xf numFmtId="0" fontId="18" fillId="0" borderId="0" xfId="0" applyFont="1"/>
    <xf numFmtId="0" fontId="0" fillId="0" borderId="18" xfId="0" applyFill="1" applyBorder="1" applyAlignment="1">
      <alignment horizontal="center"/>
    </xf>
    <xf numFmtId="0" fontId="0" fillId="8" borderId="40" xfId="0" applyFill="1" applyBorder="1"/>
    <xf numFmtId="0" fontId="6" fillId="8" borderId="17" xfId="0" applyFont="1" applyFill="1" applyBorder="1"/>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39" xfId="0" applyFont="1" applyFill="1" applyBorder="1" applyAlignment="1">
      <alignment horizontal="center" vertical="center"/>
    </xf>
    <xf numFmtId="0" fontId="12" fillId="3" borderId="44" xfId="0" applyFont="1" applyFill="1" applyBorder="1" applyAlignment="1">
      <alignment horizontal="center"/>
    </xf>
    <xf numFmtId="0" fontId="13" fillId="3" borderId="49" xfId="0" applyFont="1" applyFill="1" applyBorder="1" applyAlignment="1">
      <alignment horizontal="center"/>
    </xf>
    <xf numFmtId="0" fontId="12" fillId="3" borderId="49" xfId="0" applyFont="1" applyFill="1" applyBorder="1" applyAlignment="1">
      <alignment horizontal="center"/>
    </xf>
    <xf numFmtId="0" fontId="12" fillId="3" borderId="45" xfId="0" applyFont="1" applyFill="1" applyBorder="1" applyAlignment="1">
      <alignment horizontal="center"/>
    </xf>
    <xf numFmtId="0" fontId="9" fillId="3" borderId="13" xfId="0" applyFont="1" applyFill="1" applyBorder="1" applyAlignment="1">
      <alignment horizontal="center"/>
    </xf>
    <xf numFmtId="0" fontId="6" fillId="9" borderId="17" xfId="0" applyFont="1" applyFill="1" applyBorder="1"/>
    <xf numFmtId="0" fontId="0" fillId="9" borderId="17" xfId="0" applyFill="1" applyBorder="1"/>
    <xf numFmtId="0" fontId="0" fillId="6" borderId="17" xfId="0" applyFill="1" applyBorder="1"/>
    <xf numFmtId="0" fontId="6" fillId="3" borderId="51" xfId="0" applyFont="1" applyFill="1" applyBorder="1"/>
    <xf numFmtId="0" fontId="18" fillId="6" borderId="4" xfId="0" applyFont="1" applyFill="1" applyBorder="1"/>
    <xf numFmtId="0" fontId="18" fillId="6" borderId="17" xfId="0" applyFont="1" applyFill="1" applyBorder="1"/>
    <xf numFmtId="0" fontId="6" fillId="9" borderId="40" xfId="0" applyFont="1" applyFill="1" applyBorder="1"/>
    <xf numFmtId="0" fontId="6" fillId="6" borderId="17" xfId="0" applyFont="1" applyFill="1" applyBorder="1" applyAlignment="1">
      <alignment wrapText="1"/>
    </xf>
    <xf numFmtId="0" fontId="6" fillId="3" borderId="17" xfId="0" applyFont="1" applyFill="1" applyBorder="1" applyAlignment="1"/>
    <xf numFmtId="0" fontId="6" fillId="3" borderId="18" xfId="0" applyFont="1" applyFill="1" applyBorder="1" applyAlignment="1"/>
    <xf numFmtId="0" fontId="6" fillId="0" borderId="17" xfId="0" applyFont="1" applyFill="1" applyBorder="1" applyAlignment="1"/>
    <xf numFmtId="0" fontId="6" fillId="3" borderId="17" xfId="0" applyFont="1" applyFill="1" applyBorder="1" applyAlignment="1">
      <alignment horizontal="left"/>
    </xf>
    <xf numFmtId="0" fontId="18" fillId="0" borderId="17" xfId="0" applyFont="1" applyFill="1" applyBorder="1" applyAlignment="1"/>
    <xf numFmtId="0" fontId="18" fillId="9" borderId="17" xfId="0" applyFont="1" applyFill="1" applyBorder="1" applyAlignment="1">
      <alignment horizontal="center"/>
    </xf>
    <xf numFmtId="0" fontId="6" fillId="0" borderId="22" xfId="0" applyFont="1" applyFill="1" applyBorder="1" applyAlignment="1"/>
    <xf numFmtId="0" fontId="18" fillId="9" borderId="13" xfId="0" applyFont="1" applyFill="1" applyBorder="1" applyAlignment="1">
      <alignment horizontal="center"/>
    </xf>
    <xf numFmtId="0" fontId="9" fillId="3" borderId="19" xfId="0" applyFont="1" applyFill="1" applyBorder="1"/>
    <xf numFmtId="0" fontId="6" fillId="0" borderId="4" xfId="0" applyFont="1" applyFill="1" applyBorder="1" applyAlignment="1">
      <alignment horizontal="center"/>
    </xf>
    <xf numFmtId="0" fontId="8" fillId="0" borderId="17" xfId="0" applyFont="1" applyBorder="1" applyAlignment="1">
      <alignment horizontal="left" vertical="top"/>
    </xf>
    <xf numFmtId="0" fontId="0" fillId="3" borderId="32" xfId="0" applyFill="1" applyBorder="1"/>
    <xf numFmtId="0" fontId="6" fillId="3" borderId="37" xfId="0" applyFont="1" applyFill="1" applyBorder="1"/>
    <xf numFmtId="0" fontId="6" fillId="3" borderId="28" xfId="0" applyFont="1" applyFill="1" applyBorder="1"/>
    <xf numFmtId="0" fontId="6" fillId="3" borderId="32" xfId="0" applyFont="1" applyFill="1" applyBorder="1"/>
    <xf numFmtId="0" fontId="0" fillId="3" borderId="28" xfId="0" applyFill="1" applyBorder="1"/>
    <xf numFmtId="0" fontId="6" fillId="6" borderId="20" xfId="0" applyFont="1" applyFill="1" applyBorder="1"/>
    <xf numFmtId="0" fontId="0" fillId="6" borderId="17" xfId="0" applyFill="1" applyBorder="1" applyAlignment="1">
      <alignment horizontal="left"/>
    </xf>
    <xf numFmtId="0" fontId="18" fillId="9" borderId="22" xfId="0" applyFont="1" applyFill="1" applyBorder="1" applyAlignment="1">
      <alignment horizontal="center"/>
    </xf>
    <xf numFmtId="0" fontId="18" fillId="9" borderId="37" xfId="0" applyFont="1" applyFill="1" applyBorder="1" applyAlignment="1">
      <alignment horizontal="center"/>
    </xf>
    <xf numFmtId="0" fontId="18" fillId="9" borderId="28" xfId="0" applyFont="1" applyFill="1" applyBorder="1" applyAlignment="1">
      <alignment horizontal="center"/>
    </xf>
    <xf numFmtId="0" fontId="18" fillId="9" borderId="32" xfId="0" applyFont="1" applyFill="1" applyBorder="1" applyAlignment="1">
      <alignment horizontal="center"/>
    </xf>
    <xf numFmtId="0" fontId="0" fillId="9" borderId="18" xfId="0" applyFill="1" applyBorder="1"/>
    <xf numFmtId="0" fontId="0" fillId="3" borderId="20" xfId="0" applyFill="1" applyBorder="1"/>
    <xf numFmtId="0" fontId="0" fillId="9" borderId="20" xfId="0" applyFill="1" applyBorder="1"/>
    <xf numFmtId="0" fontId="0" fillId="9" borderId="19" xfId="0" applyFill="1" applyBorder="1"/>
    <xf numFmtId="0" fontId="18" fillId="9" borderId="43" xfId="0" applyFont="1" applyFill="1" applyBorder="1" applyAlignment="1">
      <alignment horizontal="center" vertical="center"/>
    </xf>
    <xf numFmtId="0" fontId="6" fillId="5" borderId="17" xfId="0" applyFont="1" applyFill="1" applyBorder="1"/>
    <xf numFmtId="0" fontId="0" fillId="5" borderId="17" xfId="0" applyFill="1" applyBorder="1"/>
    <xf numFmtId="0" fontId="6" fillId="5" borderId="17" xfId="0" applyFont="1" applyFill="1" applyBorder="1" applyAlignment="1">
      <alignment wrapText="1"/>
    </xf>
    <xf numFmtId="0" fontId="0" fillId="5" borderId="20" xfId="0" applyFill="1" applyBorder="1"/>
    <xf numFmtId="0" fontId="18" fillId="9" borderId="39" xfId="0" applyFont="1" applyFill="1" applyBorder="1" applyAlignment="1">
      <alignment horizontal="center"/>
    </xf>
    <xf numFmtId="0" fontId="18" fillId="9" borderId="35" xfId="0" applyFont="1" applyFill="1" applyBorder="1" applyAlignment="1">
      <alignment horizontal="center"/>
    </xf>
    <xf numFmtId="0" fontId="18" fillId="9" borderId="38" xfId="0" applyFont="1" applyFill="1" applyBorder="1" applyAlignment="1">
      <alignment horizontal="center"/>
    </xf>
    <xf numFmtId="0" fontId="18" fillId="9" borderId="29" xfId="0" applyFont="1" applyFill="1" applyBorder="1" applyAlignment="1">
      <alignment horizontal="center"/>
    </xf>
    <xf numFmtId="0" fontId="18" fillId="9" borderId="33" xfId="0" applyFont="1" applyFill="1" applyBorder="1" applyAlignment="1">
      <alignment horizontal="center"/>
    </xf>
    <xf numFmtId="0" fontId="0" fillId="9" borderId="40" xfId="0" applyFill="1" applyBorder="1"/>
    <xf numFmtId="0" fontId="6" fillId="3" borderId="13" xfId="0" applyFont="1" applyFill="1" applyBorder="1"/>
    <xf numFmtId="0" fontId="18" fillId="3" borderId="13" xfId="0" applyFont="1" applyFill="1" applyBorder="1"/>
    <xf numFmtId="0" fontId="18" fillId="3" borderId="13" xfId="0" applyFont="1" applyFill="1" applyBorder="1" applyAlignment="1">
      <alignment horizontal="right"/>
    </xf>
    <xf numFmtId="0" fontId="18" fillId="3" borderId="16" xfId="0" applyFont="1" applyFill="1" applyBorder="1" applyAlignment="1"/>
    <xf numFmtId="0" fontId="0" fillId="6" borderId="13" xfId="0" applyFill="1" applyBorder="1"/>
    <xf numFmtId="0" fontId="6" fillId="6" borderId="53" xfId="0" applyFont="1" applyFill="1" applyBorder="1"/>
    <xf numFmtId="0" fontId="6" fillId="6" borderId="54" xfId="0" applyFont="1" applyFill="1" applyBorder="1"/>
    <xf numFmtId="0" fontId="6" fillId="6" borderId="55" xfId="0" applyFont="1" applyFill="1" applyBorder="1"/>
    <xf numFmtId="0" fontId="6" fillId="6" borderId="15" xfId="0" applyFont="1" applyFill="1" applyBorder="1"/>
    <xf numFmtId="0" fontId="6" fillId="6" borderId="25" xfId="0" applyFont="1" applyFill="1" applyBorder="1"/>
    <xf numFmtId="0" fontId="6" fillId="6" borderId="13" xfId="0" applyFont="1" applyFill="1" applyBorder="1"/>
    <xf numFmtId="0" fontId="6" fillId="6" borderId="22" xfId="0" applyFont="1" applyFill="1" applyBorder="1"/>
    <xf numFmtId="0" fontId="6" fillId="6" borderId="17" xfId="0" applyFont="1" applyFill="1" applyBorder="1"/>
    <xf numFmtId="0" fontId="0" fillId="9" borderId="14" xfId="0" applyFill="1" applyBorder="1"/>
    <xf numFmtId="0" fontId="0" fillId="9" borderId="32" xfId="0" applyFill="1" applyBorder="1" applyAlignment="1">
      <alignment horizontal="center" vertical="center"/>
    </xf>
    <xf numFmtId="0" fontId="18" fillId="9" borderId="33" xfId="0" applyFont="1" applyFill="1" applyBorder="1" applyAlignment="1">
      <alignment horizontal="center" vertical="center"/>
    </xf>
    <xf numFmtId="0" fontId="0" fillId="9" borderId="17" xfId="0" applyFill="1" applyBorder="1" applyAlignment="1">
      <alignment horizontal="center" vertical="center"/>
    </xf>
    <xf numFmtId="0" fontId="18" fillId="9" borderId="35" xfId="0" applyFont="1" applyFill="1" applyBorder="1" applyAlignment="1">
      <alignment horizontal="center" vertical="center"/>
    </xf>
    <xf numFmtId="0" fontId="0" fillId="9" borderId="37" xfId="0" applyFill="1" applyBorder="1" applyAlignment="1">
      <alignment horizontal="center" vertical="center"/>
    </xf>
    <xf numFmtId="0" fontId="18" fillId="9" borderId="38" xfId="0" applyFont="1" applyFill="1" applyBorder="1" applyAlignment="1">
      <alignment horizontal="center" vertical="center"/>
    </xf>
    <xf numFmtId="0" fontId="6" fillId="3" borderId="20" xfId="0" applyFont="1" applyFill="1" applyBorder="1"/>
    <xf numFmtId="0" fontId="18" fillId="3" borderId="16" xfId="0" applyFont="1" applyFill="1" applyBorder="1"/>
    <xf numFmtId="0" fontId="18" fillId="3" borderId="6" xfId="0" applyFont="1" applyFill="1" applyBorder="1"/>
    <xf numFmtId="0" fontId="0" fillId="9" borderId="32" xfId="0" applyFill="1" applyBorder="1"/>
    <xf numFmtId="0" fontId="0" fillId="9" borderId="37" xfId="0" applyFill="1" applyBorder="1"/>
    <xf numFmtId="0" fontId="0" fillId="9" borderId="28" xfId="0" applyFill="1" applyBorder="1"/>
    <xf numFmtId="0" fontId="18" fillId="6" borderId="27" xfId="0" applyFont="1" applyFill="1" applyBorder="1"/>
    <xf numFmtId="0" fontId="6" fillId="6" borderId="17" xfId="0" applyFont="1" applyFill="1" applyBorder="1" applyAlignment="1">
      <alignment horizontal="left"/>
    </xf>
    <xf numFmtId="0" fontId="8" fillId="0" borderId="4" xfId="0" applyFont="1" applyBorder="1"/>
    <xf numFmtId="0" fontId="18" fillId="6" borderId="20" xfId="0" applyFont="1" applyFill="1" applyBorder="1"/>
    <xf numFmtId="0" fontId="6" fillId="5" borderId="23" xfId="0" applyFont="1" applyFill="1" applyBorder="1" applyAlignment="1">
      <alignment wrapText="1"/>
    </xf>
    <xf numFmtId="0" fontId="0" fillId="3" borderId="22" xfId="0" applyFill="1" applyBorder="1"/>
    <xf numFmtId="0" fontId="0" fillId="9" borderId="22" xfId="0" applyFill="1" applyBorder="1"/>
    <xf numFmtId="0" fontId="18" fillId="9" borderId="6" xfId="0" applyFont="1" applyFill="1" applyBorder="1" applyAlignment="1">
      <alignment horizontal="center" vertical="center"/>
    </xf>
    <xf numFmtId="0" fontId="0" fillId="2" borderId="17" xfId="0" applyFill="1" applyBorder="1" applyAlignment="1">
      <alignment horizontal="center"/>
    </xf>
    <xf numFmtId="0" fontId="0" fillId="0" borderId="17" xfId="0" applyBorder="1" applyAlignment="1">
      <alignment horizontal="center"/>
    </xf>
    <xf numFmtId="0" fontId="0" fillId="0" borderId="17" xfId="0" applyBorder="1" applyAlignment="1">
      <alignment horizontal="left"/>
    </xf>
    <xf numFmtId="0" fontId="0" fillId="0" borderId="17" xfId="0" applyBorder="1" applyAlignment="1">
      <alignment horizontal="center"/>
    </xf>
    <xf numFmtId="0" fontId="18" fillId="2" borderId="56" xfId="0" applyFont="1" applyFill="1" applyBorder="1" applyAlignment="1">
      <alignment horizontal="left" vertical="top"/>
    </xf>
    <xf numFmtId="0" fontId="0" fillId="0" borderId="68" xfId="0" applyBorder="1" applyAlignment="1">
      <alignment horizontal="left" vertical="top"/>
    </xf>
    <xf numFmtId="0" fontId="8" fillId="0" borderId="68" xfId="0" applyFont="1" applyBorder="1" applyAlignment="1">
      <alignment horizontal="left" vertical="top"/>
    </xf>
    <xf numFmtId="0" fontId="8" fillId="0" borderId="17" xfId="0" applyFont="1" applyFill="1" applyBorder="1" applyAlignment="1">
      <alignment horizontal="left" vertical="top"/>
    </xf>
    <xf numFmtId="0" fontId="6" fillId="2" borderId="17" xfId="0" applyFont="1" applyFill="1" applyBorder="1" applyAlignment="1">
      <alignment horizontal="left"/>
    </xf>
    <xf numFmtId="0" fontId="0" fillId="0" borderId="17" xfId="0" applyBorder="1" applyAlignment="1">
      <alignment horizontal="center" vertical="center"/>
    </xf>
    <xf numFmtId="0" fontId="0" fillId="2" borderId="17" xfId="0" applyFill="1" applyBorder="1" applyAlignment="1">
      <alignment horizontal="center" vertical="center"/>
    </xf>
    <xf numFmtId="0" fontId="0" fillId="2" borderId="17" xfId="0" applyFill="1" applyBorder="1" applyAlignment="1">
      <alignment horizontal="center" vertical="top"/>
    </xf>
    <xf numFmtId="0" fontId="8" fillId="2" borderId="20" xfId="0" applyFont="1" applyFill="1" applyBorder="1" applyAlignment="1">
      <alignment horizontal="left" vertical="top"/>
    </xf>
    <xf numFmtId="0" fontId="18" fillId="2" borderId="16" xfId="0" applyFont="1" applyFill="1" applyBorder="1" applyAlignment="1">
      <alignment horizontal="center"/>
    </xf>
    <xf numFmtId="0" fontId="8" fillId="5" borderId="13"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18" fillId="6" borderId="13" xfId="0" applyFont="1" applyFill="1" applyBorder="1" applyAlignment="1">
      <alignment horizontal="center"/>
    </xf>
    <xf numFmtId="0" fontId="6" fillId="0" borderId="17" xfId="0" applyFont="1" applyBorder="1" applyAlignment="1"/>
    <xf numFmtId="0" fontId="0" fillId="0" borderId="17" xfId="0" applyBorder="1" applyAlignment="1"/>
    <xf numFmtId="0" fontId="6" fillId="0" borderId="17" xfId="0" applyFont="1" applyBorder="1" applyAlignment="1">
      <alignment horizontal="left"/>
    </xf>
    <xf numFmtId="0" fontId="0" fillId="0" borderId="18" xfId="0" applyBorder="1" applyAlignment="1">
      <alignment horizontal="center"/>
    </xf>
    <xf numFmtId="0" fontId="0" fillId="0" borderId="17" xfId="0" applyBorder="1" applyAlignment="1">
      <alignment horizontal="center"/>
    </xf>
    <xf numFmtId="0" fontId="0" fillId="0" borderId="17" xfId="0" applyBorder="1" applyAlignment="1">
      <alignment horizontal="center"/>
    </xf>
    <xf numFmtId="0" fontId="6" fillId="0" borderId="17" xfId="0" applyFont="1" applyBorder="1" applyAlignment="1">
      <alignment horizontal="center"/>
    </xf>
    <xf numFmtId="0" fontId="0" fillId="0" borderId="17" xfId="0" applyBorder="1" applyAlignment="1">
      <alignment horizontal="center"/>
    </xf>
    <xf numFmtId="0" fontId="6" fillId="0" borderId="17" xfId="0" applyFont="1" applyBorder="1" applyAlignment="1">
      <alignment horizontal="center"/>
    </xf>
    <xf numFmtId="0" fontId="18" fillId="0" borderId="0" xfId="0" applyFont="1" applyAlignment="1">
      <alignment horizontal="center"/>
    </xf>
    <xf numFmtId="0" fontId="18" fillId="0" borderId="17" xfId="0" applyFont="1" applyBorder="1" applyAlignment="1">
      <alignment horizontal="center"/>
    </xf>
    <xf numFmtId="0" fontId="0" fillId="9" borderId="13" xfId="0" applyFill="1" applyBorder="1" applyAlignment="1">
      <alignment horizontal="center" vertical="center"/>
    </xf>
    <xf numFmtId="0" fontId="0" fillId="9" borderId="13" xfId="0" applyFill="1" applyBorder="1" applyAlignment="1">
      <alignment horizontal="center"/>
    </xf>
    <xf numFmtId="0" fontId="0" fillId="9" borderId="29" xfId="0" applyFill="1" applyBorder="1" applyAlignment="1">
      <alignment horizontal="center"/>
    </xf>
    <xf numFmtId="0" fontId="18" fillId="2" borderId="17" xfId="0" applyFont="1" applyFill="1" applyBorder="1" applyAlignment="1">
      <alignment horizontal="center"/>
    </xf>
    <xf numFmtId="0" fontId="18" fillId="2" borderId="17" xfId="0" applyFont="1" applyFill="1" applyBorder="1" applyAlignment="1">
      <alignment horizontal="center" vertical="center"/>
    </xf>
    <xf numFmtId="0" fontId="18" fillId="0" borderId="18" xfId="0" applyFont="1" applyBorder="1" applyAlignment="1">
      <alignment horizontal="center"/>
    </xf>
    <xf numFmtId="0" fontId="0" fillId="2" borderId="13" xfId="0" applyFill="1" applyBorder="1"/>
    <xf numFmtId="0" fontId="18" fillId="2" borderId="13" xfId="0" applyFont="1" applyFill="1" applyBorder="1" applyAlignment="1">
      <alignment horizontal="center"/>
    </xf>
    <xf numFmtId="0" fontId="18" fillId="2" borderId="18" xfId="0" applyFont="1" applyFill="1" applyBorder="1" applyAlignment="1">
      <alignment horizontal="center"/>
    </xf>
    <xf numFmtId="0" fontId="18" fillId="0" borderId="22" xfId="0" applyFont="1" applyBorder="1" applyAlignment="1">
      <alignment horizontal="center"/>
    </xf>
    <xf numFmtId="0" fontId="6" fillId="0" borderId="40" xfId="0" applyFont="1" applyBorder="1" applyAlignment="1"/>
    <xf numFmtId="0" fontId="18" fillId="0" borderId="17" xfId="0" applyFont="1" applyFill="1" applyBorder="1" applyAlignment="1">
      <alignment horizontal="center" vertical="center" wrapText="1"/>
    </xf>
    <xf numFmtId="0" fontId="18" fillId="2" borderId="22" xfId="0" applyFont="1" applyFill="1" applyBorder="1" applyAlignment="1">
      <alignment horizontal="center" vertical="center"/>
    </xf>
    <xf numFmtId="0" fontId="0" fillId="2" borderId="13" xfId="0" applyFill="1" applyBorder="1" applyAlignment="1">
      <alignment horizontal="center" vertical="center"/>
    </xf>
    <xf numFmtId="0" fontId="0" fillId="0" borderId="5" xfId="0" applyBorder="1" applyAlignment="1">
      <alignment vertical="top" wrapText="1"/>
    </xf>
    <xf numFmtId="0" fontId="0" fillId="0" borderId="4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6" fillId="0" borderId="17" xfId="0" applyFont="1" applyBorder="1" applyAlignment="1">
      <alignment horizontal="right"/>
    </xf>
    <xf numFmtId="0" fontId="0" fillId="0" borderId="17" xfId="0" applyBorder="1" applyAlignment="1">
      <alignment horizontal="right"/>
    </xf>
    <xf numFmtId="0" fontId="0" fillId="9" borderId="17" xfId="0" applyFill="1" applyBorder="1" applyAlignment="1">
      <alignment horizontal="center"/>
    </xf>
    <xf numFmtId="0" fontId="6" fillId="6" borderId="6" xfId="0" applyFont="1"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48" xfId="0" applyBorder="1" applyAlignment="1">
      <alignment horizontal="left" vertical="top" wrapText="1"/>
    </xf>
    <xf numFmtId="0" fontId="0" fillId="0" borderId="53"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18" fillId="3" borderId="27" xfId="0" applyFont="1" applyFill="1" applyBorder="1" applyAlignment="1">
      <alignment horizontal="center"/>
    </xf>
    <xf numFmtId="0" fontId="18" fillId="3" borderId="28" xfId="0" applyFont="1" applyFill="1" applyBorder="1" applyAlignment="1">
      <alignment horizontal="center"/>
    </xf>
    <xf numFmtId="0" fontId="18" fillId="3" borderId="29" xfId="0" applyFont="1" applyFill="1" applyBorder="1" applyAlignment="1">
      <alignment horizontal="center"/>
    </xf>
    <xf numFmtId="0" fontId="18" fillId="3" borderId="17" xfId="0" applyFont="1" applyFill="1" applyBorder="1" applyAlignment="1">
      <alignment horizontal="center"/>
    </xf>
    <xf numFmtId="0" fontId="18" fillId="3" borderId="18" xfId="0" applyFont="1" applyFill="1" applyBorder="1" applyAlignment="1">
      <alignment horizontal="center"/>
    </xf>
    <xf numFmtId="0" fontId="18" fillId="6" borderId="22" xfId="0" applyFont="1" applyFill="1" applyBorder="1" applyAlignment="1">
      <alignment horizontal="center"/>
    </xf>
    <xf numFmtId="0" fontId="18" fillId="6" borderId="24" xfId="0" applyFont="1" applyFill="1" applyBorder="1" applyAlignment="1">
      <alignment horizontal="left" vertical="center"/>
    </xf>
    <xf numFmtId="0" fontId="18" fillId="6" borderId="36" xfId="0" applyFont="1" applyFill="1" applyBorder="1" applyAlignment="1">
      <alignment horizontal="left" vertical="center"/>
    </xf>
    <xf numFmtId="0" fontId="0" fillId="6" borderId="32" xfId="0" applyFill="1" applyBorder="1" applyAlignment="1">
      <alignment horizontal="left"/>
    </xf>
    <xf numFmtId="0" fontId="0" fillId="6" borderId="37" xfId="0" applyFill="1" applyBorder="1" applyAlignment="1">
      <alignment horizontal="left"/>
    </xf>
    <xf numFmtId="0" fontId="0" fillId="6" borderId="28" xfId="0" applyFill="1" applyBorder="1" applyAlignment="1">
      <alignment horizontal="left"/>
    </xf>
    <xf numFmtId="0" fontId="6" fillId="6" borderId="24" xfId="0" applyFont="1" applyFill="1" applyBorder="1" applyAlignment="1">
      <alignment horizontal="left" vertical="center"/>
    </xf>
    <xf numFmtId="0" fontId="6" fillId="6" borderId="36" xfId="0" applyFont="1" applyFill="1" applyBorder="1" applyAlignment="1">
      <alignment horizontal="left" vertical="center"/>
    </xf>
    <xf numFmtId="0" fontId="6" fillId="6" borderId="28" xfId="0" applyFont="1" applyFill="1" applyBorder="1" applyAlignment="1">
      <alignment horizontal="left"/>
    </xf>
    <xf numFmtId="0" fontId="18" fillId="6" borderId="34" xfId="0" applyFont="1" applyFill="1" applyBorder="1" applyAlignment="1">
      <alignment horizontal="left" vertical="center"/>
    </xf>
    <xf numFmtId="0" fontId="0" fillId="6" borderId="20" xfId="0" applyFill="1" applyBorder="1" applyAlignment="1">
      <alignment horizontal="center"/>
    </xf>
    <xf numFmtId="0" fontId="0" fillId="6" borderId="17" xfId="0" applyFill="1" applyBorder="1" applyAlignment="1">
      <alignment horizontal="left"/>
    </xf>
    <xf numFmtId="0" fontId="6" fillId="3" borderId="27" xfId="0" applyFont="1" applyFill="1" applyBorder="1" applyAlignment="1">
      <alignment horizontal="left"/>
    </xf>
    <xf numFmtId="0" fontId="6" fillId="3" borderId="28" xfId="0" applyFont="1" applyFill="1" applyBorder="1" applyAlignment="1">
      <alignment horizontal="left"/>
    </xf>
    <xf numFmtId="0" fontId="6" fillId="3" borderId="29" xfId="0" applyFont="1" applyFill="1" applyBorder="1" applyAlignment="1">
      <alignment horizontal="left"/>
    </xf>
    <xf numFmtId="0" fontId="18" fillId="3" borderId="15" xfId="0" applyFont="1" applyFill="1" applyBorder="1" applyAlignment="1">
      <alignment horizontal="center"/>
    </xf>
    <xf numFmtId="0" fontId="18" fillId="3" borderId="16" xfId="0" applyFont="1" applyFill="1" applyBorder="1" applyAlignment="1">
      <alignment horizontal="center"/>
    </xf>
    <xf numFmtId="0" fontId="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9" fillId="3" borderId="7"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5" xfId="0" applyFont="1" applyFill="1" applyBorder="1" applyAlignment="1">
      <alignment horizontal="center"/>
    </xf>
    <xf numFmtId="0" fontId="9" fillId="3" borderId="16" xfId="0" applyFont="1" applyFill="1" applyBorder="1" applyAlignment="1">
      <alignment horizontal="center"/>
    </xf>
    <xf numFmtId="0" fontId="21" fillId="3" borderId="37" xfId="0" applyFont="1" applyFill="1" applyBorder="1" applyAlignment="1">
      <alignment horizontal="left"/>
    </xf>
    <xf numFmtId="0" fontId="19" fillId="3" borderId="24"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36"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39" xfId="0" applyFont="1" applyFill="1" applyBorder="1" applyAlignment="1">
      <alignment horizontal="center" vertical="center" wrapText="1"/>
    </xf>
    <xf numFmtId="0" fontId="21" fillId="3" borderId="32" xfId="0" applyFont="1" applyFill="1" applyBorder="1" applyAlignment="1">
      <alignment horizontal="left" vertical="center"/>
    </xf>
    <xf numFmtId="0" fontId="21" fillId="3" borderId="17" xfId="0" applyFont="1" applyFill="1" applyBorder="1" applyAlignment="1">
      <alignment horizontal="left" vertical="center"/>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27" xfId="0" applyFont="1" applyFill="1" applyBorder="1" applyAlignment="1">
      <alignment horizontal="center"/>
    </xf>
    <xf numFmtId="0" fontId="9" fillId="3" borderId="28" xfId="0" applyFont="1" applyFill="1" applyBorder="1" applyAlignment="1">
      <alignment horizontal="center"/>
    </xf>
    <xf numFmtId="0" fontId="9" fillId="3" borderId="29" xfId="0" applyFont="1" applyFill="1" applyBorder="1" applyAlignment="1">
      <alignment horizontal="center"/>
    </xf>
    <xf numFmtId="0" fontId="8" fillId="3" borderId="20" xfId="0" applyFont="1" applyFill="1" applyBorder="1" applyAlignment="1">
      <alignment horizontal="center" vertical="center"/>
    </xf>
    <xf numFmtId="0" fontId="8" fillId="3" borderId="25"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8" fillId="3" borderId="17" xfId="0" applyFont="1" applyFill="1" applyBorder="1" applyAlignment="1">
      <alignment horizontal="center"/>
    </xf>
    <xf numFmtId="0" fontId="9" fillId="3" borderId="15" xfId="0" applyFont="1" applyFill="1" applyBorder="1" applyAlignment="1">
      <alignment horizontal="right"/>
    </xf>
    <xf numFmtId="0" fontId="9" fillId="3" borderId="12" xfId="0" applyFont="1" applyFill="1" applyBorder="1" applyAlignment="1">
      <alignment horizontal="right"/>
    </xf>
    <xf numFmtId="0" fontId="9" fillId="3" borderId="16" xfId="0" applyFont="1" applyFill="1" applyBorder="1" applyAlignment="1">
      <alignment horizontal="right"/>
    </xf>
    <xf numFmtId="0" fontId="17" fillId="3" borderId="32" xfId="0" applyFont="1" applyFill="1" applyBorder="1" applyAlignment="1">
      <alignment horizontal="left"/>
    </xf>
    <xf numFmtId="0" fontId="9" fillId="3" borderId="12" xfId="0" applyFont="1" applyFill="1" applyBorder="1" applyAlignment="1">
      <alignment horizontal="center"/>
    </xf>
    <xf numFmtId="0" fontId="18" fillId="6" borderId="15" xfId="0" applyFont="1" applyFill="1" applyBorder="1" applyAlignment="1">
      <alignment horizontal="center"/>
    </xf>
    <xf numFmtId="0" fontId="18" fillId="6" borderId="12" xfId="0" applyFont="1" applyFill="1" applyBorder="1" applyAlignment="1">
      <alignment horizontal="center"/>
    </xf>
    <xf numFmtId="0" fontId="18" fillId="6" borderId="16" xfId="0" applyFont="1" applyFill="1" applyBorder="1" applyAlignment="1">
      <alignment horizontal="center"/>
    </xf>
    <xf numFmtId="0" fontId="18" fillId="6" borderId="15" xfId="0" applyFont="1" applyFill="1" applyBorder="1" applyAlignment="1">
      <alignment horizontal="center" vertical="center"/>
    </xf>
    <xf numFmtId="0" fontId="18" fillId="6" borderId="12" xfId="0" applyFont="1" applyFill="1" applyBorder="1" applyAlignment="1">
      <alignment horizontal="center" vertical="center"/>
    </xf>
    <xf numFmtId="0" fontId="18" fillId="6" borderId="16" xfId="0" applyFont="1" applyFill="1" applyBorder="1" applyAlignment="1">
      <alignment horizontal="center" vertical="center"/>
    </xf>
    <xf numFmtId="0" fontId="6" fillId="3" borderId="16" xfId="0" applyFont="1" applyFill="1" applyBorder="1" applyAlignment="1">
      <alignment horizontal="center"/>
    </xf>
    <xf numFmtId="0" fontId="18" fillId="6" borderId="15" xfId="0" applyNumberFormat="1" applyFont="1" applyFill="1" applyBorder="1" applyAlignment="1">
      <alignment horizontal="center"/>
    </xf>
    <xf numFmtId="0" fontId="18" fillId="6" borderId="12" xfId="0" applyNumberFormat="1" applyFont="1" applyFill="1" applyBorder="1" applyAlignment="1">
      <alignment horizontal="center"/>
    </xf>
    <xf numFmtId="0" fontId="18" fillId="6" borderId="16" xfId="0" applyNumberFormat="1" applyFont="1" applyFill="1" applyBorder="1" applyAlignment="1">
      <alignment horizontal="center"/>
    </xf>
    <xf numFmtId="0" fontId="18" fillId="6" borderId="7" xfId="0" applyFont="1" applyFill="1" applyBorder="1" applyAlignment="1">
      <alignment horizontal="center"/>
    </xf>
    <xf numFmtId="0" fontId="18" fillId="6" borderId="8" xfId="0" applyFont="1" applyFill="1" applyBorder="1" applyAlignment="1">
      <alignment horizontal="center"/>
    </xf>
    <xf numFmtId="0" fontId="6" fillId="3" borderId="0" xfId="0" applyFont="1" applyFill="1" applyAlignment="1">
      <alignment horizont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0" xfId="0" applyFont="1" applyFill="1" applyBorder="1" applyAlignment="1">
      <alignment horizontal="center"/>
    </xf>
    <xf numFmtId="0" fontId="9" fillId="3" borderId="11" xfId="0" applyFont="1" applyFill="1" applyBorder="1" applyAlignment="1">
      <alignment horizontal="center"/>
    </xf>
    <xf numFmtId="0" fontId="6" fillId="3" borderId="15" xfId="0" applyFont="1" applyFill="1" applyBorder="1" applyAlignment="1">
      <alignment horizontal="center"/>
    </xf>
    <xf numFmtId="0" fontId="6" fillId="3" borderId="12" xfId="0" applyFont="1" applyFill="1" applyBorder="1" applyAlignment="1">
      <alignment horizontal="center"/>
    </xf>
    <xf numFmtId="0" fontId="5" fillId="3" borderId="17" xfId="0" applyFont="1" applyFill="1" applyBorder="1" applyAlignment="1">
      <alignment horizontal="center"/>
    </xf>
    <xf numFmtId="0" fontId="0" fillId="2" borderId="17" xfId="0" applyFill="1" applyBorder="1" applyAlignment="1">
      <alignment horizontal="center"/>
    </xf>
    <xf numFmtId="0" fontId="2" fillId="2" borderId="4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0" borderId="0" xfId="0" applyFont="1" applyAlignment="1">
      <alignment horizontal="center" vertical="center"/>
    </xf>
    <xf numFmtId="0" fontId="18" fillId="9" borderId="42" xfId="0" applyFont="1" applyFill="1" applyBorder="1" applyAlignment="1">
      <alignment horizontal="center" vertical="center"/>
    </xf>
    <xf numFmtId="0" fontId="18" fillId="9" borderId="43" xfId="0" applyFont="1" applyFill="1" applyBorder="1" applyAlignment="1">
      <alignment horizontal="center" vertical="center"/>
    </xf>
    <xf numFmtId="0" fontId="18" fillId="9" borderId="14" xfId="0" applyFont="1" applyFill="1" applyBorder="1" applyAlignment="1">
      <alignment horizontal="center" vertical="center"/>
    </xf>
    <xf numFmtId="0" fontId="18" fillId="3" borderId="18" xfId="0" applyFont="1" applyFill="1" applyBorder="1" applyAlignment="1">
      <alignment horizontal="right"/>
    </xf>
    <xf numFmtId="0" fontId="18" fillId="3" borderId="51" xfId="0" applyFont="1" applyFill="1" applyBorder="1" applyAlignment="1">
      <alignment horizontal="right"/>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17" xfId="0" applyFill="1" applyBorder="1" applyAlignment="1">
      <alignment horizontal="left"/>
    </xf>
    <xf numFmtId="0" fontId="6" fillId="2" borderId="17" xfId="0" applyFont="1" applyFill="1" applyBorder="1" applyAlignment="1">
      <alignment horizontal="left"/>
    </xf>
    <xf numFmtId="0" fontId="6" fillId="2" borderId="17" xfId="0" applyFont="1" applyFill="1" applyBorder="1" applyAlignment="1">
      <alignment horizontal="center"/>
    </xf>
    <xf numFmtId="0" fontId="18" fillId="9" borderId="15" xfId="0" applyFont="1" applyFill="1" applyBorder="1" applyAlignment="1">
      <alignment horizontal="center"/>
    </xf>
    <xf numFmtId="0" fontId="18" fillId="9" borderId="12" xfId="0" applyFont="1" applyFill="1" applyBorder="1" applyAlignment="1">
      <alignment horizontal="center"/>
    </xf>
    <xf numFmtId="0" fontId="18" fillId="9" borderId="16" xfId="0" applyFont="1" applyFill="1" applyBorder="1" applyAlignment="1">
      <alignment horizontal="center"/>
    </xf>
    <xf numFmtId="0" fontId="18" fillId="5" borderId="15"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16" xfId="0" applyFont="1" applyFill="1" applyBorder="1" applyAlignment="1">
      <alignment horizontal="center" vertical="center"/>
    </xf>
    <xf numFmtId="0" fontId="17" fillId="3" borderId="17" xfId="0" applyFont="1" applyFill="1" applyBorder="1" applyAlignment="1">
      <alignment horizontal="left" vertical="center"/>
    </xf>
    <xf numFmtId="0" fontId="4" fillId="3" borderId="32"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17" fillId="3" borderId="17" xfId="0" applyFont="1" applyFill="1" applyBorder="1" applyAlignment="1">
      <alignment horizontal="left"/>
    </xf>
    <xf numFmtId="0" fontId="9" fillId="5" borderId="15" xfId="0" applyFont="1" applyFill="1" applyBorder="1" applyAlignment="1">
      <alignment horizontal="center"/>
    </xf>
    <xf numFmtId="0" fontId="9" fillId="5" borderId="12" xfId="0" applyFont="1" applyFill="1" applyBorder="1" applyAlignment="1">
      <alignment horizontal="center"/>
    </xf>
    <xf numFmtId="0" fontId="9" fillId="5" borderId="16" xfId="0" applyFont="1" applyFill="1" applyBorder="1" applyAlignment="1">
      <alignment horizontal="center"/>
    </xf>
    <xf numFmtId="0" fontId="9" fillId="3" borderId="24"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6" xfId="0" applyFont="1" applyFill="1" applyBorder="1" applyAlignment="1">
      <alignment horizontal="center" vertical="center"/>
    </xf>
    <xf numFmtId="0" fontId="17" fillId="3" borderId="37" xfId="0" applyFont="1" applyFill="1" applyBorder="1" applyAlignment="1">
      <alignment horizontal="left"/>
    </xf>
    <xf numFmtId="0" fontId="18" fillId="3" borderId="15" xfId="0" applyFont="1" applyFill="1" applyBorder="1" applyAlignment="1">
      <alignment horizontal="left"/>
    </xf>
    <xf numFmtId="0" fontId="18" fillId="3" borderId="12" xfId="0" applyFont="1" applyFill="1" applyBorder="1" applyAlignment="1">
      <alignment horizontal="left"/>
    </xf>
    <xf numFmtId="0" fontId="18" fillId="3" borderId="16" xfId="0" applyFont="1" applyFill="1" applyBorder="1" applyAlignment="1">
      <alignment horizontal="left"/>
    </xf>
    <xf numFmtId="0" fontId="18" fillId="6" borderId="56" xfId="0" applyFont="1" applyFill="1" applyBorder="1" applyAlignment="1">
      <alignment horizontal="left" vertical="center"/>
    </xf>
    <xf numFmtId="0" fontId="18" fillId="6" borderId="30" xfId="0" applyFont="1" applyFill="1" applyBorder="1" applyAlignment="1">
      <alignment horizontal="left" vertical="center"/>
    </xf>
    <xf numFmtId="0" fontId="18" fillId="6" borderId="58" xfId="0" applyFont="1" applyFill="1" applyBorder="1" applyAlignment="1">
      <alignment horizontal="left" vertical="center"/>
    </xf>
    <xf numFmtId="0" fontId="0" fillId="3" borderId="12" xfId="0" applyFill="1" applyBorder="1" applyAlignment="1">
      <alignment horizontal="center"/>
    </xf>
    <xf numFmtId="0" fontId="0" fillId="3" borderId="16" xfId="0" applyFill="1" applyBorder="1" applyAlignment="1">
      <alignment horizontal="center"/>
    </xf>
    <xf numFmtId="0" fontId="18" fillId="9" borderId="63" xfId="0" applyFont="1" applyFill="1" applyBorder="1" applyAlignment="1">
      <alignment horizontal="center" vertical="center"/>
    </xf>
    <xf numFmtId="0" fontId="18" fillId="9" borderId="31" xfId="0" applyFont="1" applyFill="1" applyBorder="1" applyAlignment="1">
      <alignment horizontal="center" vertical="center"/>
    </xf>
    <xf numFmtId="0" fontId="18" fillId="9" borderId="64" xfId="0" applyFont="1" applyFill="1" applyBorder="1" applyAlignment="1">
      <alignment horizontal="center" vertical="center"/>
    </xf>
    <xf numFmtId="0" fontId="18" fillId="3" borderId="12" xfId="0" applyFont="1" applyFill="1" applyBorder="1" applyAlignment="1">
      <alignment horizontal="center"/>
    </xf>
    <xf numFmtId="0" fontId="18" fillId="3" borderId="15" xfId="0" applyFont="1" applyFill="1" applyBorder="1" applyAlignment="1">
      <alignment horizontal="right" vertical="center"/>
    </xf>
    <xf numFmtId="0" fontId="18" fillId="3" borderId="12" xfId="0" applyFont="1" applyFill="1" applyBorder="1" applyAlignment="1">
      <alignment horizontal="right" vertical="center"/>
    </xf>
    <xf numFmtId="0" fontId="18" fillId="3" borderId="16" xfId="0" applyFont="1" applyFill="1" applyBorder="1" applyAlignment="1">
      <alignment horizontal="right" vertical="center"/>
    </xf>
    <xf numFmtId="0" fontId="25" fillId="3" borderId="15" xfId="0" applyFont="1" applyFill="1" applyBorder="1" applyAlignment="1">
      <alignment horizontal="left"/>
    </xf>
    <xf numFmtId="0" fontId="25" fillId="3" borderId="12" xfId="0" applyFont="1" applyFill="1" applyBorder="1" applyAlignment="1">
      <alignment horizontal="left"/>
    </xf>
    <xf numFmtId="0" fontId="25" fillId="3" borderId="16" xfId="0" applyFont="1" applyFill="1" applyBorder="1" applyAlignment="1">
      <alignment horizontal="left"/>
    </xf>
    <xf numFmtId="0" fontId="18" fillId="9" borderId="9" xfId="0" applyFont="1" applyFill="1" applyBorder="1" applyAlignment="1">
      <alignment horizontal="center" vertical="center"/>
    </xf>
    <xf numFmtId="0" fontId="18" fillId="9" borderId="10" xfId="0" applyFont="1" applyFill="1" applyBorder="1" applyAlignment="1">
      <alignment horizontal="center" vertical="center"/>
    </xf>
    <xf numFmtId="0" fontId="18" fillId="9" borderId="16" xfId="0" applyFont="1" applyFill="1" applyBorder="1" applyAlignment="1">
      <alignment horizontal="center" vertical="center"/>
    </xf>
    <xf numFmtId="0" fontId="6" fillId="6" borderId="18" xfId="0" applyFont="1" applyFill="1" applyBorder="1" applyAlignment="1">
      <alignment horizontal="left"/>
    </xf>
    <xf numFmtId="0" fontId="6" fillId="6" borderId="52" xfId="0" applyFont="1" applyFill="1" applyBorder="1" applyAlignment="1">
      <alignment horizontal="left"/>
    </xf>
    <xf numFmtId="0" fontId="18" fillId="3" borderId="27" xfId="0" applyFont="1" applyFill="1" applyBorder="1" applyAlignment="1">
      <alignment horizontal="right"/>
    </xf>
    <xf numFmtId="0" fontId="18" fillId="3" borderId="29" xfId="0" applyFont="1" applyFill="1" applyBorder="1" applyAlignment="1">
      <alignment horizontal="right"/>
    </xf>
    <xf numFmtId="0" fontId="18" fillId="6" borderId="65" xfId="0" applyFont="1" applyFill="1" applyBorder="1" applyAlignment="1">
      <alignment horizontal="left" vertical="center"/>
    </xf>
    <xf numFmtId="0" fontId="6" fillId="6" borderId="32" xfId="0" applyFont="1" applyFill="1" applyBorder="1" applyAlignment="1">
      <alignment horizontal="left"/>
    </xf>
    <xf numFmtId="0" fontId="0" fillId="6" borderId="18" xfId="0" applyFill="1" applyBorder="1" applyAlignment="1">
      <alignment horizontal="left"/>
    </xf>
    <xf numFmtId="0" fontId="0" fillId="6" borderId="40" xfId="0" applyFill="1" applyBorder="1" applyAlignment="1">
      <alignment horizontal="left"/>
    </xf>
    <xf numFmtId="0" fontId="0" fillId="6" borderId="26" xfId="0" applyFill="1" applyBorder="1" applyAlignment="1">
      <alignment horizontal="left"/>
    </xf>
    <xf numFmtId="0" fontId="0" fillId="6" borderId="57" xfId="0" applyFill="1" applyBorder="1" applyAlignment="1">
      <alignment horizontal="left"/>
    </xf>
    <xf numFmtId="0" fontId="0" fillId="6" borderId="9" xfId="0" applyFill="1" applyBorder="1" applyAlignment="1">
      <alignment horizontal="left"/>
    </xf>
    <xf numFmtId="0" fontId="0" fillId="6" borderId="10" xfId="0" applyFill="1" applyBorder="1" applyAlignment="1">
      <alignment horizontal="left"/>
    </xf>
    <xf numFmtId="0" fontId="0" fillId="6" borderId="12" xfId="0" applyFill="1" applyBorder="1" applyAlignment="1">
      <alignment horizontal="left"/>
    </xf>
    <xf numFmtId="0" fontId="0" fillId="6" borderId="16" xfId="0" applyFill="1" applyBorder="1" applyAlignment="1">
      <alignment horizontal="left"/>
    </xf>
    <xf numFmtId="0" fontId="6" fillId="6" borderId="15" xfId="0" applyFont="1" applyFill="1" applyBorder="1" applyAlignment="1">
      <alignment horizontal="left"/>
    </xf>
    <xf numFmtId="0" fontId="6" fillId="6" borderId="12" xfId="0" applyFont="1" applyFill="1" applyBorder="1" applyAlignment="1">
      <alignment horizontal="left"/>
    </xf>
    <xf numFmtId="0" fontId="6" fillId="6" borderId="16" xfId="0" applyFont="1" applyFill="1" applyBorder="1" applyAlignment="1">
      <alignment horizontal="left"/>
    </xf>
    <xf numFmtId="0" fontId="0" fillId="6" borderId="59" xfId="0" applyFill="1" applyBorder="1" applyAlignment="1">
      <alignment horizontal="left"/>
    </xf>
    <xf numFmtId="0" fontId="0" fillId="6" borderId="60" xfId="0" applyFill="1" applyBorder="1" applyAlignment="1">
      <alignment horizontal="left"/>
    </xf>
    <xf numFmtId="0" fontId="0" fillId="6" borderId="61" xfId="0" applyFill="1" applyBorder="1" applyAlignment="1">
      <alignment horizontal="left"/>
    </xf>
    <xf numFmtId="0" fontId="0" fillId="6" borderId="62" xfId="0" applyFill="1" applyBorder="1" applyAlignment="1">
      <alignment horizontal="left"/>
    </xf>
    <xf numFmtId="0" fontId="6" fillId="6" borderId="26" xfId="0" applyFont="1" applyFill="1" applyBorder="1" applyAlignment="1">
      <alignment horizontal="left"/>
    </xf>
    <xf numFmtId="0" fontId="6" fillId="6" borderId="57" xfId="0" applyFont="1" applyFill="1" applyBorder="1" applyAlignment="1">
      <alignment horizontal="left"/>
    </xf>
    <xf numFmtId="0" fontId="6" fillId="6" borderId="37" xfId="0" applyFont="1" applyFill="1" applyBorder="1" applyAlignment="1">
      <alignment horizontal="left"/>
    </xf>
    <xf numFmtId="0" fontId="6" fillId="6" borderId="40" xfId="0" applyFont="1" applyFill="1" applyBorder="1" applyAlignment="1">
      <alignment horizontal="left"/>
    </xf>
    <xf numFmtId="0" fontId="0" fillId="6" borderId="17" xfId="0" applyFill="1" applyBorder="1" applyAlignment="1"/>
    <xf numFmtId="0" fontId="0" fillId="6" borderId="20" xfId="0" applyFill="1" applyBorder="1" applyAlignment="1">
      <alignment horizontal="left"/>
    </xf>
    <xf numFmtId="0" fontId="0" fillId="0" borderId="17" xfId="0" applyBorder="1" applyAlignment="1">
      <alignment horizontal="center"/>
    </xf>
    <xf numFmtId="0" fontId="6" fillId="3" borderId="6" xfId="0" applyFont="1" applyFill="1" applyBorder="1" applyAlignment="1">
      <alignment horizontal="center" vertical="top" wrapText="1"/>
    </xf>
    <xf numFmtId="0" fontId="6" fillId="3" borderId="7"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4" xfId="0" applyFont="1" applyFill="1" applyBorder="1" applyAlignment="1">
      <alignment horizontal="center" vertical="top" wrapText="1"/>
    </xf>
    <xf numFmtId="0" fontId="6" fillId="3" borderId="48" xfId="0" applyFont="1" applyFill="1" applyBorder="1" applyAlignment="1">
      <alignment horizontal="center" vertical="top" wrapText="1"/>
    </xf>
    <xf numFmtId="0" fontId="6"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11" xfId="0"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7"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4" xfId="0" applyFont="1" applyFill="1" applyBorder="1" applyAlignment="1">
      <alignment horizontal="center" vertical="top" wrapText="1"/>
    </xf>
    <xf numFmtId="0" fontId="18" fillId="3" borderId="48" xfId="0" applyFont="1" applyFill="1" applyBorder="1" applyAlignment="1">
      <alignment horizontal="center" vertical="top" wrapText="1"/>
    </xf>
    <xf numFmtId="0" fontId="18" fillId="3" borderId="9" xfId="0" applyFont="1" applyFill="1" applyBorder="1" applyAlignment="1">
      <alignment horizontal="center" vertical="top" wrapText="1"/>
    </xf>
    <xf numFmtId="0" fontId="18" fillId="3" borderId="10" xfId="0" applyFont="1" applyFill="1" applyBorder="1" applyAlignment="1">
      <alignment horizontal="center" vertical="top" wrapText="1"/>
    </xf>
    <xf numFmtId="0" fontId="18" fillId="3" borderId="11" xfId="0" applyFont="1" applyFill="1" applyBorder="1" applyAlignment="1">
      <alignment horizontal="center" vertical="top" wrapText="1"/>
    </xf>
    <xf numFmtId="0" fontId="18" fillId="3" borderId="6" xfId="0" applyFont="1" applyFill="1" applyBorder="1" applyAlignment="1">
      <alignment horizontal="center" wrapText="1"/>
    </xf>
    <xf numFmtId="0" fontId="18" fillId="3" borderId="7" xfId="0" applyFont="1" applyFill="1" applyBorder="1" applyAlignment="1">
      <alignment horizontal="center" wrapText="1"/>
    </xf>
    <xf numFmtId="0" fontId="18" fillId="3" borderId="8" xfId="0" applyFont="1" applyFill="1" applyBorder="1" applyAlignment="1">
      <alignment horizontal="center" wrapText="1"/>
    </xf>
    <xf numFmtId="0" fontId="18" fillId="3" borderId="5" xfId="0" applyFont="1" applyFill="1" applyBorder="1" applyAlignment="1">
      <alignment horizontal="center" wrapText="1"/>
    </xf>
    <xf numFmtId="0" fontId="18" fillId="3" borderId="4" xfId="0" applyFont="1" applyFill="1" applyBorder="1" applyAlignment="1">
      <alignment horizontal="center" wrapText="1"/>
    </xf>
    <xf numFmtId="0" fontId="18" fillId="3" borderId="48" xfId="0" applyFont="1" applyFill="1" applyBorder="1" applyAlignment="1">
      <alignment horizontal="center" wrapText="1"/>
    </xf>
    <xf numFmtId="0" fontId="18" fillId="3" borderId="9" xfId="0" applyFont="1" applyFill="1" applyBorder="1" applyAlignment="1">
      <alignment horizontal="center" wrapText="1"/>
    </xf>
    <xf numFmtId="0" fontId="18" fillId="3" borderId="10" xfId="0" applyFont="1" applyFill="1" applyBorder="1" applyAlignment="1">
      <alignment horizontal="center" wrapText="1"/>
    </xf>
    <xf numFmtId="0" fontId="18" fillId="3" borderId="11" xfId="0" applyFont="1" applyFill="1" applyBorder="1" applyAlignment="1">
      <alignment horizontal="center" wrapText="1"/>
    </xf>
    <xf numFmtId="0" fontId="0" fillId="0" borderId="17" xfId="0" applyFill="1" applyBorder="1" applyAlignment="1">
      <alignment horizontal="center"/>
    </xf>
    <xf numFmtId="0" fontId="6" fillId="8" borderId="17" xfId="0" applyFont="1" applyFill="1" applyBorder="1" applyAlignment="1">
      <alignment horizontal="center" wrapText="1"/>
    </xf>
    <xf numFmtId="0" fontId="0" fillId="8" borderId="17" xfId="0" applyFill="1" applyBorder="1" applyAlignment="1">
      <alignment horizontal="center" wrapText="1"/>
    </xf>
    <xf numFmtId="0" fontId="6" fillId="8" borderId="14" xfId="0" applyFont="1" applyFill="1" applyBorder="1" applyAlignment="1">
      <alignment horizontal="left" vertical="top" wrapText="1"/>
    </xf>
    <xf numFmtId="0" fontId="0" fillId="8" borderId="42" xfId="0" applyFill="1" applyBorder="1" applyAlignment="1">
      <alignment horizontal="left" vertical="top" wrapText="1"/>
    </xf>
    <xf numFmtId="0" fontId="0" fillId="8" borderId="43" xfId="0" applyFill="1" applyBorder="1" applyAlignment="1">
      <alignment horizontal="left" vertical="top" wrapText="1"/>
    </xf>
    <xf numFmtId="0" fontId="6" fillId="8" borderId="42" xfId="0" applyFont="1" applyFill="1" applyBorder="1" applyAlignment="1">
      <alignment horizontal="left" vertical="top" wrapText="1"/>
    </xf>
    <xf numFmtId="0" fontId="6" fillId="8" borderId="43" xfId="0" applyFont="1" applyFill="1" applyBorder="1" applyAlignment="1">
      <alignment horizontal="left" vertical="top" wrapText="1"/>
    </xf>
    <xf numFmtId="0" fontId="6" fillId="8" borderId="14" xfId="0" applyFont="1" applyFill="1" applyBorder="1" applyAlignment="1">
      <alignment horizontal="left" wrapText="1"/>
    </xf>
    <xf numFmtId="0" fontId="0" fillId="8" borderId="42" xfId="0" applyFill="1" applyBorder="1" applyAlignment="1">
      <alignment horizontal="left" wrapText="1"/>
    </xf>
    <xf numFmtId="0" fontId="0" fillId="8" borderId="43" xfId="0" applyFill="1" applyBorder="1" applyAlignment="1">
      <alignment horizontal="left" wrapText="1"/>
    </xf>
    <xf numFmtId="0" fontId="6" fillId="8" borderId="17" xfId="0" applyFont="1" applyFill="1" applyBorder="1" applyAlignment="1">
      <alignment horizontal="left" wrapText="1"/>
    </xf>
    <xf numFmtId="0" fontId="0" fillId="8" borderId="17" xfId="0" applyFill="1" applyBorder="1" applyAlignment="1">
      <alignment horizontal="left" wrapText="1"/>
    </xf>
    <xf numFmtId="0" fontId="6" fillId="0" borderId="15"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6" xfId="0" applyFont="1" applyFill="1" applyBorder="1" applyAlignment="1">
      <alignment horizontal="left" vertical="top" wrapText="1"/>
    </xf>
    <xf numFmtId="49" fontId="6" fillId="0" borderId="15" xfId="0" applyNumberFormat="1" applyFont="1" applyFill="1" applyBorder="1" applyAlignment="1">
      <alignment horizontal="left" vertical="top" wrapText="1"/>
    </xf>
    <xf numFmtId="49" fontId="6" fillId="0" borderId="12" xfId="0" applyNumberFormat="1" applyFont="1" applyFill="1" applyBorder="1" applyAlignment="1">
      <alignment horizontal="left" vertical="top" wrapText="1"/>
    </xf>
    <xf numFmtId="0" fontId="18" fillId="0" borderId="15" xfId="0" applyFont="1" applyFill="1" applyBorder="1" applyAlignment="1">
      <alignment horizontal="center"/>
    </xf>
    <xf numFmtId="0" fontId="18" fillId="0" borderId="12" xfId="0" applyFont="1" applyFill="1" applyBorder="1" applyAlignment="1">
      <alignment horizontal="center"/>
    </xf>
    <xf numFmtId="0" fontId="18" fillId="0" borderId="16" xfId="0" applyFont="1" applyFill="1" applyBorder="1" applyAlignment="1">
      <alignment horizontal="center"/>
    </xf>
    <xf numFmtId="0" fontId="6" fillId="0" borderId="15" xfId="0" applyFont="1" applyBorder="1" applyAlignment="1">
      <alignment horizontal="center" wrapText="1"/>
    </xf>
    <xf numFmtId="0" fontId="6" fillId="0" borderId="12" xfId="0" applyFont="1" applyBorder="1" applyAlignment="1">
      <alignment horizontal="center" wrapText="1"/>
    </xf>
    <xf numFmtId="0" fontId="6" fillId="0" borderId="17" xfId="0" applyFont="1" applyBorder="1" applyAlignment="1">
      <alignment horizontal="left"/>
    </xf>
    <xf numFmtId="0" fontId="0" fillId="0" borderId="17" xfId="0" applyBorder="1" applyAlignment="1">
      <alignment horizontal="left"/>
    </xf>
    <xf numFmtId="0" fontId="0" fillId="0" borderId="40" xfId="0" applyBorder="1" applyAlignment="1">
      <alignment horizontal="left"/>
    </xf>
    <xf numFmtId="0" fontId="6" fillId="0" borderId="17" xfId="0" applyFont="1" applyBorder="1" applyAlignment="1">
      <alignment horizontal="center"/>
    </xf>
    <xf numFmtId="0" fontId="6" fillId="0" borderId="18" xfId="0" applyFont="1" applyBorder="1" applyAlignment="1">
      <alignment horizontal="left"/>
    </xf>
    <xf numFmtId="0" fontId="6" fillId="0" borderId="51" xfId="0" applyFont="1" applyBorder="1" applyAlignment="1">
      <alignment horizontal="left"/>
    </xf>
    <xf numFmtId="0" fontId="6" fillId="0" borderId="40" xfId="0" applyFont="1" applyBorder="1" applyAlignment="1">
      <alignment horizontal="left"/>
    </xf>
    <xf numFmtId="0" fontId="0" fillId="0" borderId="18" xfId="0" applyBorder="1" applyAlignment="1">
      <alignment horizontal="center"/>
    </xf>
    <xf numFmtId="0" fontId="0" fillId="0" borderId="51" xfId="0" applyBorder="1" applyAlignment="1">
      <alignment horizontal="center"/>
    </xf>
    <xf numFmtId="0" fontId="0" fillId="0" borderId="40" xfId="0" applyBorder="1" applyAlignment="1">
      <alignment horizontal="center"/>
    </xf>
    <xf numFmtId="0" fontId="0" fillId="0" borderId="69" xfId="0" applyBorder="1" applyAlignment="1">
      <alignment horizontal="left"/>
    </xf>
    <xf numFmtId="0" fontId="0" fillId="0" borderId="70" xfId="0" applyBorder="1" applyAlignment="1">
      <alignment horizontal="left"/>
    </xf>
    <xf numFmtId="0" fontId="0" fillId="0" borderId="51" xfId="0" applyBorder="1" applyAlignment="1">
      <alignment horizontal="left"/>
    </xf>
    <xf numFmtId="0" fontId="0" fillId="0" borderId="0" xfId="0" applyAlignment="1">
      <alignment horizontal="left" vertical="top" wrapText="1"/>
    </xf>
    <xf numFmtId="0" fontId="4" fillId="0" borderId="17" xfId="0" applyFont="1" applyBorder="1" applyAlignment="1">
      <alignment horizontal="center" vertical="center" wrapText="1"/>
    </xf>
    <xf numFmtId="0" fontId="4" fillId="0" borderId="17" xfId="0" applyFont="1" applyFill="1" applyBorder="1" applyAlignment="1">
      <alignment horizontal="center" vertical="center" wrapText="1"/>
    </xf>
    <xf numFmtId="0" fontId="6" fillId="0" borderId="21" xfId="0" applyFont="1" applyBorder="1" applyAlignment="1">
      <alignment horizontal="center" wrapText="1"/>
    </xf>
    <xf numFmtId="0" fontId="19" fillId="0" borderId="17" xfId="0" applyFont="1" applyBorder="1" applyAlignment="1">
      <alignment horizontal="center" vertical="center" wrapText="1"/>
    </xf>
    <xf numFmtId="0" fontId="5" fillId="0" borderId="17" xfId="0" applyFont="1" applyBorder="1" applyAlignment="1">
      <alignment horizontal="center" wrapText="1"/>
    </xf>
    <xf numFmtId="0" fontId="0" fillId="3" borderId="42" xfId="0" applyFill="1" applyBorder="1" applyAlignment="1"/>
    <xf numFmtId="0" fontId="8" fillId="3" borderId="42" xfId="0" applyFont="1" applyFill="1" applyBorder="1" applyAlignment="1"/>
    <xf numFmtId="0" fontId="0" fillId="3" borderId="42" xfId="0" applyFill="1" applyBorder="1"/>
    <xf numFmtId="0" fontId="0" fillId="3" borderId="43" xfId="0" applyFill="1" applyBorder="1"/>
    <xf numFmtId="0" fontId="0" fillId="3" borderId="13" xfId="0" applyFill="1" applyBorder="1"/>
  </cellXfs>
  <cellStyles count="1">
    <cellStyle name="Обычный"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4664178538376E-2"/>
          <c:y val="2.8928342610972393E-2"/>
          <c:w val="0.96305335821461624"/>
          <c:h val="0.83548925758318093"/>
        </c:manualLayout>
      </c:layout>
      <c:barChart>
        <c:barDir val="col"/>
        <c:grouping val="stacked"/>
        <c:varyColors val="0"/>
        <c:ser>
          <c:idx val="0"/>
          <c:order val="0"/>
          <c:tx>
            <c:strRef>
              <c:f>ответы!$A$41</c:f>
              <c:strCache>
                <c:ptCount val="1"/>
                <c:pt idx="0">
                  <c:v>Осн. Баллы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ответы!$B$40:$U$40</c:f>
              <c:strCache>
                <c:ptCount val="17"/>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strCache>
            </c:strRef>
          </c:cat>
          <c:val>
            <c:numRef>
              <c:f>ответы!$B$41:$U$41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1D59-4E6F-9D40-061C2AA48898}"/>
            </c:ext>
          </c:extLst>
        </c:ser>
        <c:ser>
          <c:idx val="2"/>
          <c:order val="2"/>
          <c:tx>
            <c:strRef>
              <c:f>ответы!$A$43</c:f>
              <c:strCache>
                <c:ptCount val="1"/>
                <c:pt idx="0">
                  <c:v>Доп. Баллы</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ответы!$B$40:$U$40</c:f>
              <c:strCache>
                <c:ptCount val="17"/>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strCache>
            </c:strRef>
          </c:cat>
          <c:val>
            <c:numRef>
              <c:f>ответы!$B$43:$U$43</c:f>
              <c:numCache>
                <c:formatCode>General</c:formatCode>
                <c:ptCount val="17"/>
                <c:pt idx="2">
                  <c:v>0</c:v>
                </c:pt>
                <c:pt idx="3">
                  <c:v>0</c:v>
                </c:pt>
                <c:pt idx="4">
                  <c:v>0</c:v>
                </c:pt>
                <c:pt idx="5">
                  <c:v>1</c:v>
                </c:pt>
                <c:pt idx="6">
                  <c:v>2</c:v>
                </c:pt>
                <c:pt idx="7">
                  <c:v>2</c:v>
                </c:pt>
                <c:pt idx="8">
                  <c:v>1</c:v>
                </c:pt>
                <c:pt idx="9">
                  <c:v>1</c:v>
                </c:pt>
                <c:pt idx="10">
                  <c:v>1</c:v>
                </c:pt>
                <c:pt idx="11">
                  <c:v>0</c:v>
                </c:pt>
              </c:numCache>
            </c:numRef>
          </c:val>
          <c:extLst>
            <c:ext xmlns:c16="http://schemas.microsoft.com/office/drawing/2014/chart" uri="{C3380CC4-5D6E-409C-BE32-E72D297353CC}">
              <c16:uniqueId val="{00000002-1D59-4E6F-9D40-061C2AA48898}"/>
            </c:ext>
          </c:extLst>
        </c:ser>
        <c:dLbls>
          <c:showLegendKey val="0"/>
          <c:showVal val="0"/>
          <c:showCatName val="0"/>
          <c:showSerName val="0"/>
          <c:showPercent val="0"/>
          <c:showBubbleSize val="0"/>
        </c:dLbls>
        <c:gapWidth val="75"/>
        <c:overlap val="100"/>
        <c:axId val="83706368"/>
        <c:axId val="59860672"/>
      </c:barChart>
      <c:lineChart>
        <c:grouping val="standard"/>
        <c:varyColors val="0"/>
        <c:ser>
          <c:idx val="1"/>
          <c:order val="1"/>
          <c:tx>
            <c:strRef>
              <c:f>ответы!$A$42</c:f>
              <c:strCache>
                <c:ptCount val="1"/>
                <c:pt idx="0">
                  <c:v>МДЧ</c:v>
                </c:pt>
              </c:strCache>
            </c:strRef>
          </c:tx>
          <c:spPr>
            <a:ln w="28575" cap="rnd">
              <a:solidFill>
                <a:schemeClr val="accent2"/>
              </a:solidFill>
              <a:round/>
            </a:ln>
            <a:effectLst/>
          </c:spPr>
          <c:marker>
            <c:symbol val="none"/>
          </c:marker>
          <c:cat>
            <c:strRef>
              <c:f>ответы!$B$40:$U$40</c:f>
              <c:strCache>
                <c:ptCount val="17"/>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strCache>
            </c:strRef>
          </c:cat>
          <c:val>
            <c:numRef>
              <c:f>ответы!$B$42:$U$42</c:f>
              <c:numCache>
                <c:formatCode>General</c:formatCode>
                <c:ptCount val="17"/>
                <c:pt idx="1">
                  <c:v>7</c:v>
                </c:pt>
                <c:pt idx="2">
                  <c:v>6</c:v>
                </c:pt>
                <c:pt idx="3">
                  <c:v>6</c:v>
                </c:pt>
                <c:pt idx="4">
                  <c:v>5</c:v>
                </c:pt>
                <c:pt idx="5">
                  <c:v>6</c:v>
                </c:pt>
                <c:pt idx="6">
                  <c:v>6</c:v>
                </c:pt>
                <c:pt idx="7">
                  <c:v>6</c:v>
                </c:pt>
                <c:pt idx="8">
                  <c:v>6</c:v>
                </c:pt>
                <c:pt idx="9">
                  <c:v>6</c:v>
                </c:pt>
                <c:pt idx="10">
                  <c:v>6</c:v>
                </c:pt>
                <c:pt idx="11">
                  <c:v>6</c:v>
                </c:pt>
              </c:numCache>
            </c:numRef>
          </c:val>
          <c:smooth val="0"/>
          <c:extLst>
            <c:ext xmlns:c16="http://schemas.microsoft.com/office/drawing/2014/chart" uri="{C3380CC4-5D6E-409C-BE32-E72D297353CC}">
              <c16:uniqueId val="{00000001-1D59-4E6F-9D40-061C2AA48898}"/>
            </c:ext>
          </c:extLst>
        </c:ser>
        <c:dLbls>
          <c:showLegendKey val="0"/>
          <c:showVal val="0"/>
          <c:showCatName val="0"/>
          <c:showSerName val="0"/>
          <c:showPercent val="0"/>
          <c:showBubbleSize val="0"/>
        </c:dLbls>
        <c:marker val="1"/>
        <c:smooth val="0"/>
        <c:axId val="83706368"/>
        <c:axId val="59860672"/>
      </c:lineChart>
      <c:catAx>
        <c:axId val="837063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ru-RU"/>
          </a:p>
        </c:txPr>
        <c:crossAx val="59860672"/>
        <c:crosses val="autoZero"/>
        <c:auto val="1"/>
        <c:lblAlgn val="ctr"/>
        <c:lblOffset val="100"/>
        <c:noMultiLvlLbl val="0"/>
      </c:catAx>
      <c:valAx>
        <c:axId val="5986067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3706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32595314048062E-2"/>
          <c:y val="3.3452813940453616E-2"/>
          <c:w val="0.93020732316437305"/>
          <c:h val="0.74622221210401074"/>
        </c:manualLayout>
      </c:layout>
      <c:barChart>
        <c:barDir val="col"/>
        <c:grouping val="stacked"/>
        <c:varyColors val="0"/>
        <c:ser>
          <c:idx val="0"/>
          <c:order val="0"/>
          <c:tx>
            <c:strRef>
              <c:f>'правила 0-8'!$B$3</c:f>
              <c:strCache>
                <c:ptCount val="1"/>
                <c:pt idx="0">
                  <c:v>Осн. Балл</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'правила 0-8'!$C$2:$V$2</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'правила 0-8'!$C$3:$V$3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4ADD-4154-B96C-20C9C6D14625}"/>
            </c:ext>
          </c:extLst>
        </c:ser>
        <c:ser>
          <c:idx val="1"/>
          <c:order val="1"/>
          <c:tx>
            <c:strRef>
              <c:f>'правила 0-8'!$B$4</c:f>
              <c:strCache>
                <c:ptCount val="1"/>
                <c:pt idx="0">
                  <c:v>Доп. Балл</c:v>
                </c:pt>
              </c:strCache>
            </c:strRef>
          </c:tx>
          <c:spPr>
            <a:solidFill>
              <a:schemeClr val="accent2"/>
            </a:solidFill>
            <a:ln>
              <a:noFill/>
            </a:ln>
            <a:effectLst/>
          </c:spPr>
          <c:invertIfNegative val="0"/>
          <c:cat>
            <c:strRef>
              <c:f>'правила 0-8'!$C$2:$V$2</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'правила 0-8'!$C$4:$V$4</c:f>
              <c:numCache>
                <c:formatCode>General</c:formatCode>
                <c:ptCount val="20"/>
                <c:pt idx="0">
                  <c:v>0</c:v>
                </c:pt>
                <c:pt idx="1">
                  <c:v>0</c:v>
                </c:pt>
                <c:pt idx="2">
                  <c:v>0</c:v>
                </c:pt>
                <c:pt idx="3">
                  <c:v>0</c:v>
                </c:pt>
                <c:pt idx="4">
                  <c:v>0</c:v>
                </c:pt>
                <c:pt idx="5">
                  <c:v>1</c:v>
                </c:pt>
                <c:pt idx="6">
                  <c:v>2</c:v>
                </c:pt>
                <c:pt idx="7">
                  <c:v>2</c:v>
                </c:pt>
                <c:pt idx="8">
                  <c:v>1</c:v>
                </c:pt>
                <c:pt idx="9">
                  <c:v>1</c:v>
                </c:pt>
                <c:pt idx="10">
                  <c:v>1</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4ADD-4154-B96C-20C9C6D14625}"/>
            </c:ext>
          </c:extLst>
        </c:ser>
        <c:dLbls>
          <c:showLegendKey val="0"/>
          <c:showVal val="0"/>
          <c:showCatName val="0"/>
          <c:showSerName val="0"/>
          <c:showPercent val="0"/>
          <c:showBubbleSize val="0"/>
        </c:dLbls>
        <c:gapWidth val="150"/>
        <c:overlap val="100"/>
        <c:axId val="84391424"/>
        <c:axId val="59863552"/>
      </c:barChart>
      <c:lineChart>
        <c:grouping val="standard"/>
        <c:varyColors val="0"/>
        <c:ser>
          <c:idx val="2"/>
          <c:order val="2"/>
          <c:tx>
            <c:strRef>
              <c:f>'правила 0-8'!$B$5</c:f>
              <c:strCache>
                <c:ptCount val="1"/>
                <c:pt idx="0">
                  <c:v>МДЧ</c:v>
                </c:pt>
              </c:strCache>
            </c:strRef>
          </c:tx>
          <c:spPr>
            <a:ln w="28575" cap="rnd">
              <a:solidFill>
                <a:srgbClr val="FF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'правила 0-8'!$C$2:$V$2</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'правила 0-8'!$C$5:$V$5</c:f>
              <c:numCache>
                <c:formatCode>General</c:formatCode>
                <c:ptCount val="20"/>
                <c:pt idx="1">
                  <c:v>7</c:v>
                </c:pt>
                <c:pt idx="2">
                  <c:v>6</c:v>
                </c:pt>
                <c:pt idx="3">
                  <c:v>6</c:v>
                </c:pt>
                <c:pt idx="4">
                  <c:v>5</c:v>
                </c:pt>
                <c:pt idx="5">
                  <c:v>6</c:v>
                </c:pt>
                <c:pt idx="6">
                  <c:v>6</c:v>
                </c:pt>
                <c:pt idx="7">
                  <c:v>6</c:v>
                </c:pt>
                <c:pt idx="8">
                  <c:v>6</c:v>
                </c:pt>
                <c:pt idx="9">
                  <c:v>6</c:v>
                </c:pt>
                <c:pt idx="10">
                  <c:v>6</c:v>
                </c:pt>
                <c:pt idx="11">
                  <c:v>6</c:v>
                </c:pt>
              </c:numCache>
            </c:numRef>
          </c:val>
          <c:smooth val="0"/>
          <c:extLst>
            <c:ext xmlns:c16="http://schemas.microsoft.com/office/drawing/2014/chart" uri="{C3380CC4-5D6E-409C-BE32-E72D297353CC}">
              <c16:uniqueId val="{00000002-4ADD-4154-B96C-20C9C6D14625}"/>
            </c:ext>
          </c:extLst>
        </c:ser>
        <c:dLbls>
          <c:showLegendKey val="0"/>
          <c:showVal val="0"/>
          <c:showCatName val="0"/>
          <c:showSerName val="0"/>
          <c:showPercent val="0"/>
          <c:showBubbleSize val="0"/>
        </c:dLbls>
        <c:marker val="1"/>
        <c:smooth val="0"/>
        <c:axId val="84391424"/>
        <c:axId val="59863552"/>
      </c:lineChart>
      <c:catAx>
        <c:axId val="84391424"/>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ru-RU"/>
          </a:p>
        </c:txPr>
        <c:crossAx val="59863552"/>
        <c:crosses val="autoZero"/>
        <c:auto val="1"/>
        <c:lblAlgn val="ctr"/>
        <c:lblOffset val="100"/>
        <c:noMultiLvlLbl val="0"/>
      </c:catAx>
      <c:valAx>
        <c:axId val="5986355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391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'правила 0-8'!$B$3</c:f>
              <c:strCache>
                <c:ptCount val="1"/>
                <c:pt idx="0">
                  <c:v>Осн. Балл</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'правила 0-8'!$C$2:$V$2</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'правила 0-8'!$C$3:$V$3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4ADD-4154-B96C-20C9C6D14625}"/>
            </c:ext>
          </c:extLst>
        </c:ser>
        <c:ser>
          <c:idx val="1"/>
          <c:order val="1"/>
          <c:tx>
            <c:strRef>
              <c:f>'правила 0-8'!$B$4</c:f>
              <c:strCache>
                <c:ptCount val="1"/>
                <c:pt idx="0">
                  <c:v>Доп. Балл</c:v>
                </c:pt>
              </c:strCache>
            </c:strRef>
          </c:tx>
          <c:spPr>
            <a:solidFill>
              <a:schemeClr val="accent2"/>
            </a:solidFill>
            <a:ln>
              <a:noFill/>
            </a:ln>
            <a:effectLst/>
          </c:spPr>
          <c:invertIfNegative val="0"/>
          <c:cat>
            <c:strRef>
              <c:f>'правила 0-8'!$C$2:$V$2</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'правила 0-8'!$C$4:$V$4</c:f>
              <c:numCache>
                <c:formatCode>General</c:formatCode>
                <c:ptCount val="20"/>
                <c:pt idx="0">
                  <c:v>0</c:v>
                </c:pt>
                <c:pt idx="1">
                  <c:v>0</c:v>
                </c:pt>
                <c:pt idx="2">
                  <c:v>0</c:v>
                </c:pt>
                <c:pt idx="3">
                  <c:v>0</c:v>
                </c:pt>
                <c:pt idx="4">
                  <c:v>0</c:v>
                </c:pt>
                <c:pt idx="5">
                  <c:v>1</c:v>
                </c:pt>
                <c:pt idx="6">
                  <c:v>2</c:v>
                </c:pt>
                <c:pt idx="7">
                  <c:v>2</c:v>
                </c:pt>
                <c:pt idx="8">
                  <c:v>1</c:v>
                </c:pt>
                <c:pt idx="9">
                  <c:v>1</c:v>
                </c:pt>
                <c:pt idx="10">
                  <c:v>1</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4ADD-4154-B96C-20C9C6D14625}"/>
            </c:ext>
          </c:extLst>
        </c:ser>
        <c:dLbls>
          <c:showLegendKey val="0"/>
          <c:showVal val="0"/>
          <c:showCatName val="0"/>
          <c:showSerName val="0"/>
          <c:showPercent val="0"/>
          <c:showBubbleSize val="0"/>
        </c:dLbls>
        <c:gapWidth val="150"/>
        <c:overlap val="100"/>
        <c:axId val="84391424"/>
        <c:axId val="59863552"/>
      </c:barChart>
      <c:lineChart>
        <c:grouping val="standard"/>
        <c:varyColors val="0"/>
        <c:ser>
          <c:idx val="2"/>
          <c:order val="2"/>
          <c:tx>
            <c:strRef>
              <c:f>'правила 0-8'!$B$5</c:f>
              <c:strCache>
                <c:ptCount val="1"/>
                <c:pt idx="0">
                  <c:v>МДЧ</c:v>
                </c:pt>
              </c:strCache>
            </c:strRef>
          </c:tx>
          <c:spPr>
            <a:ln w="28575" cap="rnd">
              <a:solidFill>
                <a:srgbClr val="FF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'правила 0-8'!$C$2:$V$2</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'правила 0-8'!$C$5:$V$5</c:f>
              <c:numCache>
                <c:formatCode>General</c:formatCode>
                <c:ptCount val="20"/>
                <c:pt idx="1">
                  <c:v>7</c:v>
                </c:pt>
                <c:pt idx="2">
                  <c:v>6</c:v>
                </c:pt>
                <c:pt idx="3">
                  <c:v>6</c:v>
                </c:pt>
                <c:pt idx="4">
                  <c:v>5</c:v>
                </c:pt>
                <c:pt idx="5">
                  <c:v>6</c:v>
                </c:pt>
                <c:pt idx="6">
                  <c:v>6</c:v>
                </c:pt>
                <c:pt idx="7">
                  <c:v>6</c:v>
                </c:pt>
                <c:pt idx="8">
                  <c:v>6</c:v>
                </c:pt>
                <c:pt idx="9">
                  <c:v>6</c:v>
                </c:pt>
                <c:pt idx="10">
                  <c:v>6</c:v>
                </c:pt>
                <c:pt idx="11">
                  <c:v>6</c:v>
                </c:pt>
              </c:numCache>
            </c:numRef>
          </c:val>
          <c:smooth val="0"/>
          <c:extLst>
            <c:ext xmlns:c16="http://schemas.microsoft.com/office/drawing/2014/chart" uri="{C3380CC4-5D6E-409C-BE32-E72D297353CC}">
              <c16:uniqueId val="{00000002-4ADD-4154-B96C-20C9C6D14625}"/>
            </c:ext>
          </c:extLst>
        </c:ser>
        <c:dLbls>
          <c:showLegendKey val="0"/>
          <c:showVal val="0"/>
          <c:showCatName val="0"/>
          <c:showSerName val="0"/>
          <c:showPercent val="0"/>
          <c:showBubbleSize val="0"/>
        </c:dLbls>
        <c:marker val="1"/>
        <c:smooth val="0"/>
        <c:axId val="84391424"/>
        <c:axId val="59863552"/>
      </c:lineChart>
      <c:catAx>
        <c:axId val="84391424"/>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ru-RU"/>
          </a:p>
        </c:txPr>
        <c:crossAx val="59863552"/>
        <c:crosses val="autoZero"/>
        <c:auto val="1"/>
        <c:lblAlgn val="ctr"/>
        <c:lblOffset val="100"/>
        <c:noMultiLvlLbl val="0"/>
      </c:catAx>
      <c:valAx>
        <c:axId val="5986355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391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297589897248338E-2"/>
          <c:y val="9.90990990990991E-2"/>
          <c:w val="0.93746209084173171"/>
          <c:h val="0.52159466553167344"/>
        </c:manualLayout>
      </c:layout>
      <c:barChart>
        <c:barDir val="col"/>
        <c:grouping val="stacked"/>
        <c:varyColors val="0"/>
        <c:ser>
          <c:idx val="0"/>
          <c:order val="0"/>
          <c:tx>
            <c:strRef>
              <c:f>'правила 0-8'!$B$3</c:f>
              <c:strCache>
                <c:ptCount val="1"/>
                <c:pt idx="0">
                  <c:v>Осн. Балл</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'правила 0-8'!$C$2:$V$2</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'правила 0-8'!$C$3:$V$3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4ADD-4154-B96C-20C9C6D14625}"/>
            </c:ext>
          </c:extLst>
        </c:ser>
        <c:ser>
          <c:idx val="1"/>
          <c:order val="1"/>
          <c:tx>
            <c:strRef>
              <c:f>'правила 0-8'!$B$4</c:f>
              <c:strCache>
                <c:ptCount val="1"/>
                <c:pt idx="0">
                  <c:v>Доп. Балл</c:v>
                </c:pt>
              </c:strCache>
            </c:strRef>
          </c:tx>
          <c:spPr>
            <a:solidFill>
              <a:schemeClr val="accent2"/>
            </a:solidFill>
            <a:ln>
              <a:noFill/>
            </a:ln>
            <a:effectLst/>
          </c:spPr>
          <c:invertIfNegative val="0"/>
          <c:dLbls>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9B-4247-B517-465FD51B2D24}"/>
                </c:ext>
              </c:extLst>
            </c:dLbl>
            <c:dLbl>
              <c:idx val="6"/>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9B-4247-B517-465FD51B2D24}"/>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9B-4247-B517-465FD51B2D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'правила 0-8'!$C$2:$V$2</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'правила 0-8'!$C$4:$V$4</c:f>
              <c:numCache>
                <c:formatCode>General</c:formatCode>
                <c:ptCount val="20"/>
                <c:pt idx="0">
                  <c:v>0</c:v>
                </c:pt>
                <c:pt idx="1">
                  <c:v>0</c:v>
                </c:pt>
                <c:pt idx="2">
                  <c:v>0</c:v>
                </c:pt>
                <c:pt idx="3">
                  <c:v>0</c:v>
                </c:pt>
                <c:pt idx="4">
                  <c:v>0</c:v>
                </c:pt>
                <c:pt idx="5">
                  <c:v>1</c:v>
                </c:pt>
                <c:pt idx="6">
                  <c:v>2</c:v>
                </c:pt>
                <c:pt idx="7">
                  <c:v>2</c:v>
                </c:pt>
                <c:pt idx="8">
                  <c:v>1</c:v>
                </c:pt>
                <c:pt idx="9">
                  <c:v>1</c:v>
                </c:pt>
                <c:pt idx="10">
                  <c:v>1</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4ADD-4154-B96C-20C9C6D14625}"/>
            </c:ext>
          </c:extLst>
        </c:ser>
        <c:dLbls>
          <c:dLblPos val="inEnd"/>
          <c:showLegendKey val="0"/>
          <c:showVal val="1"/>
          <c:showCatName val="0"/>
          <c:showSerName val="0"/>
          <c:showPercent val="0"/>
          <c:showBubbleSize val="0"/>
        </c:dLbls>
        <c:gapWidth val="150"/>
        <c:overlap val="100"/>
        <c:axId val="84391424"/>
        <c:axId val="59863552"/>
      </c:barChart>
      <c:lineChart>
        <c:grouping val="standard"/>
        <c:varyColors val="0"/>
        <c:ser>
          <c:idx val="2"/>
          <c:order val="2"/>
          <c:tx>
            <c:strRef>
              <c:f>'правила 0-8'!$B$5</c:f>
              <c:strCache>
                <c:ptCount val="1"/>
                <c:pt idx="0">
                  <c:v>МДЧ</c:v>
                </c:pt>
              </c:strCache>
            </c:strRef>
          </c:tx>
          <c:spPr>
            <a:ln w="28575" cap="rnd">
              <a:solidFill>
                <a:srgbClr val="FF0000"/>
              </a:solidFill>
              <a:round/>
            </a:ln>
            <a:effectLst/>
          </c:spPr>
          <c:marker>
            <c:symbol val="none"/>
          </c:marker>
          <c:dLbls>
            <c:dLbl>
              <c:idx val="1"/>
              <c:layout>
                <c:manualLayout>
                  <c:x val="-2.9309546838607175E-17"/>
                  <c:y val="4.452488536138139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9B-4247-B517-465FD51B2D2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'правила 0-8'!$C$2:$V$2</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'правила 0-8'!$C$5:$V$5</c:f>
              <c:numCache>
                <c:formatCode>General</c:formatCode>
                <c:ptCount val="20"/>
                <c:pt idx="1">
                  <c:v>7</c:v>
                </c:pt>
                <c:pt idx="2">
                  <c:v>6</c:v>
                </c:pt>
                <c:pt idx="3">
                  <c:v>6</c:v>
                </c:pt>
                <c:pt idx="4">
                  <c:v>5</c:v>
                </c:pt>
                <c:pt idx="5">
                  <c:v>6</c:v>
                </c:pt>
                <c:pt idx="6">
                  <c:v>6</c:v>
                </c:pt>
                <c:pt idx="7">
                  <c:v>6</c:v>
                </c:pt>
                <c:pt idx="8">
                  <c:v>6</c:v>
                </c:pt>
                <c:pt idx="9">
                  <c:v>6</c:v>
                </c:pt>
                <c:pt idx="10">
                  <c:v>6</c:v>
                </c:pt>
                <c:pt idx="11">
                  <c:v>6</c:v>
                </c:pt>
              </c:numCache>
            </c:numRef>
          </c:val>
          <c:smooth val="0"/>
          <c:extLst>
            <c:ext xmlns:c16="http://schemas.microsoft.com/office/drawing/2014/chart" uri="{C3380CC4-5D6E-409C-BE32-E72D297353CC}">
              <c16:uniqueId val="{00000002-4ADD-4154-B96C-20C9C6D14625}"/>
            </c:ext>
          </c:extLst>
        </c:ser>
        <c:dLbls>
          <c:showLegendKey val="0"/>
          <c:showVal val="1"/>
          <c:showCatName val="0"/>
          <c:showSerName val="0"/>
          <c:showPercent val="0"/>
          <c:showBubbleSize val="0"/>
        </c:dLbls>
        <c:marker val="1"/>
        <c:smooth val="0"/>
        <c:axId val="84391424"/>
        <c:axId val="59863552"/>
      </c:lineChart>
      <c:catAx>
        <c:axId val="8439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ru-RU"/>
          </a:p>
        </c:txPr>
        <c:crossAx val="59863552"/>
        <c:crosses val="autoZero"/>
        <c:auto val="1"/>
        <c:lblAlgn val="ctr"/>
        <c:lblOffset val="100"/>
        <c:noMultiLvlLbl val="0"/>
      </c:catAx>
      <c:valAx>
        <c:axId val="5986355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391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4664178538376E-2"/>
          <c:y val="2.8928342610972393E-2"/>
          <c:w val="0.96305335821461624"/>
          <c:h val="0.83548925758318093"/>
        </c:manualLayout>
      </c:layout>
      <c:barChart>
        <c:barDir val="col"/>
        <c:grouping val="stacked"/>
        <c:varyColors val="0"/>
        <c:ser>
          <c:idx val="0"/>
          <c:order val="0"/>
          <c:tx>
            <c:strRef>
              <c:f>ответы!$A$41</c:f>
              <c:strCache>
                <c:ptCount val="1"/>
                <c:pt idx="0">
                  <c:v>Осн. Баллы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ответы!$B$40:$U$40</c:f>
              <c:strCache>
                <c:ptCount val="17"/>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strCache>
            </c:strRef>
          </c:cat>
          <c:val>
            <c:numRef>
              <c:f>ответы!$B$41:$U$41</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EEAA-4805-9B77-D35388ED2595}"/>
            </c:ext>
          </c:extLst>
        </c:ser>
        <c:ser>
          <c:idx val="2"/>
          <c:order val="2"/>
          <c:tx>
            <c:strRef>
              <c:f>ответы!$A$43</c:f>
              <c:strCache>
                <c:ptCount val="1"/>
                <c:pt idx="0">
                  <c:v>Доп. Баллы</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ответы!$B$40:$U$40</c:f>
              <c:strCache>
                <c:ptCount val="17"/>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strCache>
            </c:strRef>
          </c:cat>
          <c:val>
            <c:numRef>
              <c:f>ответы!$B$43:$U$43</c:f>
              <c:numCache>
                <c:formatCode>General</c:formatCode>
                <c:ptCount val="17"/>
                <c:pt idx="2">
                  <c:v>0</c:v>
                </c:pt>
                <c:pt idx="3">
                  <c:v>0</c:v>
                </c:pt>
                <c:pt idx="4">
                  <c:v>0</c:v>
                </c:pt>
                <c:pt idx="5">
                  <c:v>1</c:v>
                </c:pt>
                <c:pt idx="6">
                  <c:v>2</c:v>
                </c:pt>
                <c:pt idx="7">
                  <c:v>2</c:v>
                </c:pt>
                <c:pt idx="8">
                  <c:v>1</c:v>
                </c:pt>
                <c:pt idx="9">
                  <c:v>1</c:v>
                </c:pt>
                <c:pt idx="10">
                  <c:v>1</c:v>
                </c:pt>
                <c:pt idx="11">
                  <c:v>0</c:v>
                </c:pt>
              </c:numCache>
            </c:numRef>
          </c:val>
          <c:extLst>
            <c:ext xmlns:c16="http://schemas.microsoft.com/office/drawing/2014/chart" uri="{C3380CC4-5D6E-409C-BE32-E72D297353CC}">
              <c16:uniqueId val="{00000001-EEAA-4805-9B77-D35388ED2595}"/>
            </c:ext>
          </c:extLst>
        </c:ser>
        <c:dLbls>
          <c:showLegendKey val="0"/>
          <c:showVal val="0"/>
          <c:showCatName val="0"/>
          <c:showSerName val="0"/>
          <c:showPercent val="0"/>
          <c:showBubbleSize val="0"/>
        </c:dLbls>
        <c:gapWidth val="75"/>
        <c:overlap val="100"/>
        <c:axId val="83706368"/>
        <c:axId val="59860672"/>
      </c:barChart>
      <c:lineChart>
        <c:grouping val="standard"/>
        <c:varyColors val="0"/>
        <c:ser>
          <c:idx val="1"/>
          <c:order val="1"/>
          <c:tx>
            <c:strRef>
              <c:f>ответы!$A$42</c:f>
              <c:strCache>
                <c:ptCount val="1"/>
                <c:pt idx="0">
                  <c:v>МДЧ</c:v>
                </c:pt>
              </c:strCache>
            </c:strRef>
          </c:tx>
          <c:spPr>
            <a:ln w="28575" cap="rnd">
              <a:solidFill>
                <a:schemeClr val="accent2"/>
              </a:solidFill>
              <a:round/>
            </a:ln>
            <a:effectLst/>
          </c:spPr>
          <c:marker>
            <c:symbol val="none"/>
          </c:marker>
          <c:cat>
            <c:strRef>
              <c:f>ответы!$B$40:$U$40</c:f>
              <c:strCache>
                <c:ptCount val="17"/>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strCache>
            </c:strRef>
          </c:cat>
          <c:val>
            <c:numRef>
              <c:f>ответы!$B$42:$U$42</c:f>
              <c:numCache>
                <c:formatCode>General</c:formatCode>
                <c:ptCount val="17"/>
                <c:pt idx="1">
                  <c:v>7</c:v>
                </c:pt>
                <c:pt idx="2">
                  <c:v>6</c:v>
                </c:pt>
                <c:pt idx="3">
                  <c:v>6</c:v>
                </c:pt>
                <c:pt idx="4">
                  <c:v>5</c:v>
                </c:pt>
                <c:pt idx="5">
                  <c:v>6</c:v>
                </c:pt>
                <c:pt idx="6">
                  <c:v>6</c:v>
                </c:pt>
                <c:pt idx="7">
                  <c:v>6</c:v>
                </c:pt>
                <c:pt idx="8">
                  <c:v>6</c:v>
                </c:pt>
                <c:pt idx="9">
                  <c:v>6</c:v>
                </c:pt>
                <c:pt idx="10">
                  <c:v>6</c:v>
                </c:pt>
                <c:pt idx="11">
                  <c:v>6</c:v>
                </c:pt>
              </c:numCache>
            </c:numRef>
          </c:val>
          <c:smooth val="0"/>
          <c:extLst>
            <c:ext xmlns:c16="http://schemas.microsoft.com/office/drawing/2014/chart" uri="{C3380CC4-5D6E-409C-BE32-E72D297353CC}">
              <c16:uniqueId val="{00000002-EEAA-4805-9B77-D35388ED2595}"/>
            </c:ext>
          </c:extLst>
        </c:ser>
        <c:dLbls>
          <c:showLegendKey val="0"/>
          <c:showVal val="0"/>
          <c:showCatName val="0"/>
          <c:showSerName val="0"/>
          <c:showPercent val="0"/>
          <c:showBubbleSize val="0"/>
        </c:dLbls>
        <c:marker val="1"/>
        <c:smooth val="0"/>
        <c:axId val="83706368"/>
        <c:axId val="59860672"/>
      </c:lineChart>
      <c:catAx>
        <c:axId val="837063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ru-RU"/>
          </a:p>
        </c:txPr>
        <c:crossAx val="59860672"/>
        <c:crosses val="autoZero"/>
        <c:auto val="1"/>
        <c:lblAlgn val="ctr"/>
        <c:lblOffset val="100"/>
        <c:noMultiLvlLbl val="0"/>
      </c:catAx>
      <c:valAx>
        <c:axId val="5986067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3706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диагр!$B$39</c:f>
              <c:strCache>
                <c:ptCount val="1"/>
                <c:pt idx="0">
                  <c:v>Осн. Баллы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диагр!$C$38:$V$38</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диагр!$C$39:$V$39</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4ADD-4154-B96C-20C9C6D14625}"/>
            </c:ext>
          </c:extLst>
        </c:ser>
        <c:ser>
          <c:idx val="2"/>
          <c:order val="2"/>
          <c:tx>
            <c:strRef>
              <c:f>диагр!$B$41</c:f>
              <c:strCache>
                <c:ptCount val="1"/>
                <c:pt idx="0">
                  <c:v>Доп. Баллы</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диагр!$C$38:$V$38</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диагр!$C$41:$V$41</c:f>
              <c:numCache>
                <c:formatCode>General</c:formatCode>
                <c:ptCount val="20"/>
                <c:pt idx="2">
                  <c:v>0</c:v>
                </c:pt>
                <c:pt idx="3">
                  <c:v>0</c:v>
                </c:pt>
                <c:pt idx="4">
                  <c:v>0</c:v>
                </c:pt>
                <c:pt idx="5">
                  <c:v>1</c:v>
                </c:pt>
                <c:pt idx="6">
                  <c:v>2</c:v>
                </c:pt>
                <c:pt idx="7">
                  <c:v>2</c:v>
                </c:pt>
                <c:pt idx="8">
                  <c:v>1</c:v>
                </c:pt>
                <c:pt idx="9">
                  <c:v>1</c:v>
                </c:pt>
                <c:pt idx="10">
                  <c:v>1</c:v>
                </c:pt>
                <c:pt idx="11">
                  <c:v>0</c:v>
                </c:pt>
              </c:numCache>
            </c:numRef>
          </c:val>
          <c:extLst>
            <c:ext xmlns:c16="http://schemas.microsoft.com/office/drawing/2014/chart" uri="{C3380CC4-5D6E-409C-BE32-E72D297353CC}">
              <c16:uniqueId val="{00000002-4ADD-4154-B96C-20C9C6D14625}"/>
            </c:ext>
          </c:extLst>
        </c:ser>
        <c:dLbls>
          <c:showLegendKey val="0"/>
          <c:showVal val="0"/>
          <c:showCatName val="0"/>
          <c:showSerName val="0"/>
          <c:showPercent val="0"/>
          <c:showBubbleSize val="0"/>
        </c:dLbls>
        <c:gapWidth val="75"/>
        <c:overlap val="100"/>
        <c:axId val="84391424"/>
        <c:axId val="59863552"/>
      </c:barChart>
      <c:lineChart>
        <c:grouping val="standard"/>
        <c:varyColors val="0"/>
        <c:ser>
          <c:idx val="1"/>
          <c:order val="1"/>
          <c:tx>
            <c:strRef>
              <c:f>диагр!$B$40</c:f>
              <c:strCache>
                <c:ptCount val="1"/>
                <c:pt idx="0">
                  <c:v>МДЧ</c:v>
                </c:pt>
              </c:strCache>
            </c:strRef>
          </c:tx>
          <c:spPr>
            <a:ln w="28575" cap="rnd">
              <a:solidFill>
                <a:schemeClr val="accent2"/>
              </a:solidFill>
              <a:round/>
            </a:ln>
            <a:effectLst/>
          </c:spPr>
          <c:marker>
            <c:symbol val="none"/>
          </c:marker>
          <c:cat>
            <c:strRef>
              <c:f>диагр!$C$38:$V$38</c:f>
              <c:strCache>
                <c:ptCount val="20"/>
                <c:pt idx="0">
                  <c:v>Выбран-0</c:v>
                </c:pt>
                <c:pt idx="1">
                  <c:v>Г</c:v>
                </c:pt>
                <c:pt idx="2">
                  <c:v>Ц</c:v>
                </c:pt>
                <c:pt idx="3">
                  <c:v>Л</c:v>
                </c:pt>
                <c:pt idx="4">
                  <c:v>А</c:v>
                </c:pt>
                <c:pt idx="5">
                  <c:v>С</c:v>
                </c:pt>
                <c:pt idx="6">
                  <c:v>П</c:v>
                </c:pt>
                <c:pt idx="7">
                  <c:v>Ш</c:v>
                </c:pt>
                <c:pt idx="8">
                  <c:v>Э</c:v>
                </c:pt>
                <c:pt idx="9">
                  <c:v>И</c:v>
                </c:pt>
                <c:pt idx="10">
                  <c:v>Н</c:v>
                </c:pt>
                <c:pt idx="11">
                  <c:v>К</c:v>
                </c:pt>
                <c:pt idx="12">
                  <c:v>О</c:v>
                </c:pt>
                <c:pt idx="13">
                  <c:v>Д</c:v>
                </c:pt>
                <c:pt idx="14">
                  <c:v>Т</c:v>
                </c:pt>
                <c:pt idx="15">
                  <c:v>В</c:v>
                </c:pt>
                <c:pt idx="16">
                  <c:v>Е</c:v>
                </c:pt>
                <c:pt idx="17">
                  <c:v>d</c:v>
                </c:pt>
                <c:pt idx="18">
                  <c:v>М</c:v>
                </c:pt>
                <c:pt idx="19">
                  <c:v>Ф</c:v>
                </c:pt>
              </c:strCache>
            </c:strRef>
          </c:cat>
          <c:val>
            <c:numRef>
              <c:f>диагр!$C$40:$V$40</c:f>
              <c:numCache>
                <c:formatCode>General</c:formatCode>
                <c:ptCount val="20"/>
                <c:pt idx="1">
                  <c:v>7</c:v>
                </c:pt>
                <c:pt idx="2">
                  <c:v>6</c:v>
                </c:pt>
                <c:pt idx="3">
                  <c:v>6</c:v>
                </c:pt>
                <c:pt idx="4">
                  <c:v>5</c:v>
                </c:pt>
                <c:pt idx="5">
                  <c:v>6</c:v>
                </c:pt>
                <c:pt idx="6">
                  <c:v>6</c:v>
                </c:pt>
                <c:pt idx="7">
                  <c:v>6</c:v>
                </c:pt>
                <c:pt idx="8">
                  <c:v>6</c:v>
                </c:pt>
                <c:pt idx="9">
                  <c:v>6</c:v>
                </c:pt>
                <c:pt idx="10">
                  <c:v>6</c:v>
                </c:pt>
                <c:pt idx="11">
                  <c:v>6</c:v>
                </c:pt>
              </c:numCache>
            </c:numRef>
          </c:val>
          <c:smooth val="0"/>
          <c:extLst>
            <c:ext xmlns:c16="http://schemas.microsoft.com/office/drawing/2014/chart" uri="{C3380CC4-5D6E-409C-BE32-E72D297353CC}">
              <c16:uniqueId val="{00000001-4ADD-4154-B96C-20C9C6D14625}"/>
            </c:ext>
          </c:extLst>
        </c:ser>
        <c:dLbls>
          <c:showLegendKey val="0"/>
          <c:showVal val="0"/>
          <c:showCatName val="0"/>
          <c:showSerName val="0"/>
          <c:showPercent val="0"/>
          <c:showBubbleSize val="0"/>
        </c:dLbls>
        <c:marker val="1"/>
        <c:smooth val="0"/>
        <c:axId val="84391424"/>
        <c:axId val="59863552"/>
      </c:lineChart>
      <c:catAx>
        <c:axId val="84391424"/>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ru-RU"/>
          </a:p>
        </c:txPr>
        <c:crossAx val="59863552"/>
        <c:crosses val="autoZero"/>
        <c:auto val="1"/>
        <c:lblAlgn val="ctr"/>
        <c:lblOffset val="100"/>
        <c:noMultiLvlLbl val="0"/>
      </c:catAx>
      <c:valAx>
        <c:axId val="5986355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391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28576</xdr:rowOff>
    </xdr:from>
    <xdr:to>
      <xdr:col>18</xdr:col>
      <xdr:colOff>0</xdr:colOff>
      <xdr:row>62</xdr:row>
      <xdr:rowOff>152402</xdr:rowOff>
    </xdr:to>
    <xdr:graphicFrame macro="">
      <xdr:nvGraphicFramePr>
        <xdr:cNvPr id="2" name="Диаграмма 1">
          <a:extLst>
            <a:ext uri="{FF2B5EF4-FFF2-40B4-BE49-F238E27FC236}">
              <a16:creationId xmlns:a16="http://schemas.microsoft.com/office/drawing/2014/main" id="{0FAF8FB4-816D-46F2-85A9-880D558C66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228601</xdr:rowOff>
    </xdr:from>
    <xdr:to>
      <xdr:col>0</xdr:col>
      <xdr:colOff>375227</xdr:colOff>
      <xdr:row>0</xdr:row>
      <xdr:rowOff>723901</xdr:rowOff>
    </xdr:to>
    <xdr:pic>
      <xdr:nvPicPr>
        <xdr:cNvPr id="3" name="Рисунок 2">
          <a:extLst>
            <a:ext uri="{FF2B5EF4-FFF2-40B4-BE49-F238E27FC236}">
              <a16:creationId xmlns:a16="http://schemas.microsoft.com/office/drawing/2014/main" id="{013EF113-5F73-496D-AA62-EA0F3F8539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28601"/>
          <a:ext cx="375227" cy="495300"/>
        </a:xfrm>
        <a:prstGeom prst="rect">
          <a:avLst/>
        </a:prstGeom>
      </xdr:spPr>
    </xdr:pic>
    <xdr:clientData/>
  </xdr:twoCellAnchor>
  <xdr:twoCellAnchor editAs="oneCell">
    <xdr:from>
      <xdr:col>8</xdr:col>
      <xdr:colOff>95250</xdr:colOff>
      <xdr:row>0</xdr:row>
      <xdr:rowOff>169333</xdr:rowOff>
    </xdr:from>
    <xdr:to>
      <xdr:col>8</xdr:col>
      <xdr:colOff>470477</xdr:colOff>
      <xdr:row>0</xdr:row>
      <xdr:rowOff>664633</xdr:rowOff>
    </xdr:to>
    <xdr:pic>
      <xdr:nvPicPr>
        <xdr:cNvPr id="4" name="Рисунок 3">
          <a:extLst>
            <a:ext uri="{FF2B5EF4-FFF2-40B4-BE49-F238E27FC236}">
              <a16:creationId xmlns:a16="http://schemas.microsoft.com/office/drawing/2014/main" id="{530B1B97-E365-4E10-89D8-503646B65B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03583" y="169333"/>
          <a:ext cx="375227"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104774</xdr:colOff>
      <xdr:row>10</xdr:row>
      <xdr:rowOff>19050</xdr:rowOff>
    </xdr:from>
    <xdr:to>
      <xdr:col>16</xdr:col>
      <xdr:colOff>352425</xdr:colOff>
      <xdr:row>42</xdr:row>
      <xdr:rowOff>133349</xdr:rowOff>
    </xdr:to>
    <xdr:graphicFrame macro="">
      <xdr:nvGraphicFramePr>
        <xdr:cNvPr id="3" name="Диаграмма 2">
          <a:extLst>
            <a:ext uri="{FF2B5EF4-FFF2-40B4-BE49-F238E27FC236}">
              <a16:creationId xmlns:a16="http://schemas.microsoft.com/office/drawing/2014/main" id="{71FD906D-6A51-4436-A67F-B4488CAD7D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152400</xdr:colOff>
      <xdr:row>48</xdr:row>
      <xdr:rowOff>123825</xdr:rowOff>
    </xdr:from>
    <xdr:to>
      <xdr:col>15</xdr:col>
      <xdr:colOff>142875</xdr:colOff>
      <xdr:row>78</xdr:row>
      <xdr:rowOff>152401</xdr:rowOff>
    </xdr:to>
    <xdr:graphicFrame macro="">
      <xdr:nvGraphicFramePr>
        <xdr:cNvPr id="2" name="Диаграмма 1">
          <a:extLst>
            <a:ext uri="{FF2B5EF4-FFF2-40B4-BE49-F238E27FC236}">
              <a16:creationId xmlns:a16="http://schemas.microsoft.com/office/drawing/2014/main" id="{5E0FFEDB-890F-4A69-BD94-454A7427E4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47625</xdr:colOff>
      <xdr:row>134</xdr:row>
      <xdr:rowOff>123825</xdr:rowOff>
    </xdr:from>
    <xdr:to>
      <xdr:col>17</xdr:col>
      <xdr:colOff>504824</xdr:colOff>
      <xdr:row>191</xdr:row>
      <xdr:rowOff>142875</xdr:rowOff>
    </xdr:to>
    <xdr:graphicFrame macro="">
      <xdr:nvGraphicFramePr>
        <xdr:cNvPr id="4" name="Диаграмма 3">
          <a:extLst>
            <a:ext uri="{FF2B5EF4-FFF2-40B4-BE49-F238E27FC236}">
              <a16:creationId xmlns:a16="http://schemas.microsoft.com/office/drawing/2014/main" id="{9A0583B7-E5C2-4A7F-8E1E-FF6998D3E7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22</xdr:row>
      <xdr:rowOff>142875</xdr:rowOff>
    </xdr:from>
    <xdr:to>
      <xdr:col>10</xdr:col>
      <xdr:colOff>609600</xdr:colOff>
      <xdr:row>57</xdr:row>
      <xdr:rowOff>161924</xdr:rowOff>
    </xdr:to>
    <xdr:graphicFrame macro="">
      <xdr:nvGraphicFramePr>
        <xdr:cNvPr id="2" name="Диаграмма 1">
          <a:extLst>
            <a:ext uri="{FF2B5EF4-FFF2-40B4-BE49-F238E27FC236}">
              <a16:creationId xmlns:a16="http://schemas.microsoft.com/office/drawing/2014/main" id="{1AA9D696-4F6E-4E04-BDA2-1FBA18794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152401</xdr:rowOff>
    </xdr:from>
    <xdr:to>
      <xdr:col>17</xdr:col>
      <xdr:colOff>342900</xdr:colOff>
      <xdr:row>35</xdr:row>
      <xdr:rowOff>142875</xdr:rowOff>
    </xdr:to>
    <xdr:graphicFrame macro="">
      <xdr:nvGraphicFramePr>
        <xdr:cNvPr id="6" name="Диаграмма 5">
          <a:extLst>
            <a:ext uri="{FF2B5EF4-FFF2-40B4-BE49-F238E27FC236}">
              <a16:creationId xmlns:a16="http://schemas.microsoft.com/office/drawing/2014/main" id="{C52F131B-E04F-44FA-AD30-A44489614D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212"/>
  <sheetViews>
    <sheetView tabSelected="1" topLeftCell="B1" zoomScale="90" zoomScaleNormal="90" workbookViewId="0">
      <selection activeCell="C5" sqref="C5"/>
    </sheetView>
  </sheetViews>
  <sheetFormatPr defaultRowHeight="15" x14ac:dyDescent="0.2"/>
  <cols>
    <col min="1" max="1" width="6.42578125" customWidth="1"/>
    <col min="2" max="2" width="48.28515625" customWidth="1"/>
    <col min="8" max="9" width="10.28515625" customWidth="1"/>
    <col min="11" max="18" width="9.140625" customWidth="1"/>
    <col min="19" max="21" width="9.140625" hidden="1" customWidth="1"/>
    <col min="22" max="22" width="9.140625" style="27" hidden="1" customWidth="1"/>
    <col min="23" max="53" width="9.140625" hidden="1" customWidth="1"/>
    <col min="54" max="54" width="9.140625" style="38" hidden="1" customWidth="1"/>
    <col min="55" max="122" width="9.140625" hidden="1" customWidth="1"/>
  </cols>
  <sheetData>
    <row r="1" spans="1:122" ht="84.75" customHeight="1" thickBot="1" x14ac:dyDescent="0.25">
      <c r="A1" s="109"/>
      <c r="B1" s="381" t="s">
        <v>474</v>
      </c>
      <c r="C1" s="382"/>
      <c r="D1" s="382"/>
      <c r="E1" s="382"/>
      <c r="F1" s="382"/>
      <c r="G1" s="382"/>
      <c r="H1" s="383"/>
      <c r="I1" s="594"/>
      <c r="J1" s="8"/>
    </row>
    <row r="2" spans="1:122" ht="16.5" thickBot="1" x14ac:dyDescent="0.3">
      <c r="A2" s="110"/>
      <c r="B2" s="111"/>
      <c r="C2" s="434" t="s">
        <v>112</v>
      </c>
      <c r="D2" s="434"/>
      <c r="E2" s="434"/>
      <c r="F2" s="434"/>
      <c r="G2" s="434"/>
      <c r="H2" s="435"/>
      <c r="I2" s="590"/>
      <c r="J2" s="18"/>
    </row>
    <row r="3" spans="1:122" ht="19.5" customHeight="1" thickBot="1" x14ac:dyDescent="0.3">
      <c r="A3" s="403" t="s">
        <v>7</v>
      </c>
      <c r="B3" s="405" t="s">
        <v>8</v>
      </c>
      <c r="C3" s="407" t="s">
        <v>113</v>
      </c>
      <c r="D3" s="381"/>
      <c r="E3" s="408"/>
      <c r="F3" s="407" t="s">
        <v>114</v>
      </c>
      <c r="G3" s="381"/>
      <c r="H3" s="408"/>
      <c r="I3" s="591"/>
      <c r="J3" s="103"/>
      <c r="K3" s="17"/>
      <c r="L3" s="17"/>
      <c r="M3" s="400" t="s">
        <v>340</v>
      </c>
      <c r="N3" s="401"/>
      <c r="O3" s="401"/>
      <c r="P3" s="401"/>
      <c r="Q3" s="401"/>
      <c r="R3" s="402"/>
      <c r="U3" s="31">
        <v>1</v>
      </c>
      <c r="V3" s="31">
        <v>2</v>
      </c>
      <c r="W3" s="31">
        <v>3</v>
      </c>
      <c r="X3" s="31">
        <v>4</v>
      </c>
      <c r="Y3" s="31">
        <v>5</v>
      </c>
      <c r="Z3" s="31">
        <v>6</v>
      </c>
      <c r="AA3" s="31">
        <v>7</v>
      </c>
      <c r="AB3" s="31">
        <v>8</v>
      </c>
      <c r="AC3" s="31">
        <v>9</v>
      </c>
      <c r="AD3" s="31">
        <v>10</v>
      </c>
      <c r="AE3" s="31">
        <v>11</v>
      </c>
      <c r="AF3" s="31">
        <v>12</v>
      </c>
      <c r="AG3" s="31">
        <v>13</v>
      </c>
      <c r="AH3" s="31">
        <v>14</v>
      </c>
      <c r="AI3" s="31">
        <v>15</v>
      </c>
      <c r="AJ3" s="31">
        <v>16</v>
      </c>
      <c r="AK3" s="31">
        <v>17</v>
      </c>
      <c r="AL3" s="31">
        <v>18</v>
      </c>
      <c r="AM3" s="31">
        <v>19</v>
      </c>
      <c r="AN3" s="31">
        <v>20</v>
      </c>
      <c r="AO3" s="31">
        <v>21</v>
      </c>
      <c r="AP3" s="31">
        <v>22</v>
      </c>
      <c r="AQ3" s="31">
        <v>23</v>
      </c>
      <c r="AR3" s="31">
        <v>24</v>
      </c>
      <c r="AS3" s="31">
        <v>25</v>
      </c>
      <c r="AT3" s="31">
        <v>26</v>
      </c>
      <c r="AU3" s="31">
        <v>27</v>
      </c>
      <c r="AV3" s="31">
        <v>28</v>
      </c>
      <c r="AW3" s="31">
        <v>29</v>
      </c>
      <c r="AX3" s="31">
        <v>30</v>
      </c>
      <c r="AY3" s="31">
        <v>31</v>
      </c>
      <c r="AZ3" s="31">
        <v>32</v>
      </c>
      <c r="BA3" s="31">
        <v>33</v>
      </c>
      <c r="BB3" s="31">
        <v>34</v>
      </c>
      <c r="BC3" s="31">
        <v>35</v>
      </c>
      <c r="BD3" s="31">
        <v>36</v>
      </c>
      <c r="BE3" s="31">
        <v>37</v>
      </c>
      <c r="BF3" s="31">
        <v>38</v>
      </c>
      <c r="BG3" s="31">
        <v>39</v>
      </c>
      <c r="BH3" s="31">
        <v>40</v>
      </c>
      <c r="BI3" s="31">
        <v>41</v>
      </c>
      <c r="BJ3" s="31">
        <v>42</v>
      </c>
      <c r="BK3" s="31">
        <v>43</v>
      </c>
      <c r="BL3" s="31">
        <v>44</v>
      </c>
      <c r="BM3" s="31">
        <v>45</v>
      </c>
      <c r="BN3" s="31">
        <v>46</v>
      </c>
      <c r="BO3" s="31">
        <v>47</v>
      </c>
      <c r="BP3" s="31">
        <v>48</v>
      </c>
      <c r="BQ3" s="31">
        <v>49</v>
      </c>
      <c r="BR3" s="31">
        <v>50</v>
      </c>
      <c r="BS3" s="31">
        <v>51</v>
      </c>
      <c r="BT3" s="31">
        <v>52</v>
      </c>
      <c r="BU3" s="31">
        <v>53</v>
      </c>
      <c r="BV3" s="31">
        <v>54</v>
      </c>
      <c r="BW3" s="31">
        <v>55</v>
      </c>
      <c r="BX3" s="31">
        <v>56</v>
      </c>
      <c r="BY3" s="31">
        <v>57</v>
      </c>
      <c r="BZ3" s="31">
        <v>58</v>
      </c>
      <c r="CA3" s="31">
        <v>59</v>
      </c>
      <c r="CB3" s="31">
        <v>60</v>
      </c>
      <c r="CC3" s="31">
        <v>61</v>
      </c>
      <c r="CD3" s="31">
        <v>62</v>
      </c>
      <c r="CE3" s="31">
        <v>63</v>
      </c>
      <c r="CF3" s="31">
        <v>64</v>
      </c>
      <c r="CG3" s="31">
        <v>65</v>
      </c>
      <c r="CH3" s="31">
        <v>66</v>
      </c>
      <c r="CI3" s="31">
        <v>67</v>
      </c>
      <c r="CJ3" s="31">
        <v>68</v>
      </c>
      <c r="CK3" s="31">
        <v>69</v>
      </c>
      <c r="CL3" s="31">
        <v>70</v>
      </c>
      <c r="CM3" s="31">
        <v>71</v>
      </c>
      <c r="CN3" s="31">
        <v>72</v>
      </c>
      <c r="CO3" s="31">
        <v>73</v>
      </c>
      <c r="CP3" s="31">
        <v>74</v>
      </c>
      <c r="CQ3" s="31">
        <v>75</v>
      </c>
      <c r="CR3" s="31">
        <v>76</v>
      </c>
      <c r="CS3" s="31">
        <v>77</v>
      </c>
      <c r="CT3" s="31">
        <v>78</v>
      </c>
      <c r="CU3" s="31">
        <v>79</v>
      </c>
      <c r="CV3" s="31">
        <v>80</v>
      </c>
      <c r="CW3" s="31">
        <v>81</v>
      </c>
      <c r="CX3" s="31">
        <v>82</v>
      </c>
      <c r="CY3" s="31">
        <v>83</v>
      </c>
      <c r="CZ3" s="31">
        <v>84</v>
      </c>
      <c r="DA3" s="31">
        <v>85</v>
      </c>
      <c r="DB3" s="31">
        <v>86</v>
      </c>
      <c r="DC3" s="31">
        <v>87</v>
      </c>
      <c r="DD3" s="31">
        <v>88</v>
      </c>
      <c r="DE3" s="31">
        <v>89</v>
      </c>
      <c r="DF3" s="31">
        <v>90</v>
      </c>
      <c r="DG3" s="31">
        <v>91</v>
      </c>
      <c r="DH3" s="31">
        <v>92</v>
      </c>
      <c r="DI3" s="31">
        <v>93</v>
      </c>
      <c r="DJ3" s="31">
        <v>94</v>
      </c>
      <c r="DK3" s="31">
        <v>95</v>
      </c>
      <c r="DL3" s="31">
        <v>96</v>
      </c>
      <c r="DM3" s="31">
        <v>97</v>
      </c>
      <c r="DN3" s="31">
        <v>98</v>
      </c>
      <c r="DO3" s="31">
        <v>99</v>
      </c>
      <c r="DP3" s="31">
        <v>100</v>
      </c>
      <c r="DQ3" s="31">
        <v>101</v>
      </c>
      <c r="DR3" s="31">
        <v>102</v>
      </c>
    </row>
    <row r="4" spans="1:122" ht="26.25" customHeight="1" thickBot="1" x14ac:dyDescent="0.3">
      <c r="A4" s="404"/>
      <c r="B4" s="406"/>
      <c r="C4" s="409"/>
      <c r="D4" s="410"/>
      <c r="E4" s="411"/>
      <c r="F4" s="409"/>
      <c r="G4" s="410"/>
      <c r="H4" s="411"/>
      <c r="I4" s="592"/>
      <c r="J4" s="17"/>
      <c r="K4" s="17"/>
      <c r="L4" s="214" t="s">
        <v>7</v>
      </c>
      <c r="M4" s="397" t="s">
        <v>338</v>
      </c>
      <c r="N4" s="398"/>
      <c r="O4" s="399"/>
      <c r="P4" s="397" t="s">
        <v>339</v>
      </c>
      <c r="Q4" s="398"/>
      <c r="R4" s="399"/>
      <c r="T4" s="19"/>
      <c r="U4" s="44" t="s">
        <v>96</v>
      </c>
      <c r="V4" s="35" t="s">
        <v>12</v>
      </c>
      <c r="W4" s="35" t="s">
        <v>3</v>
      </c>
      <c r="X4" s="35" t="s">
        <v>15</v>
      </c>
      <c r="Y4" s="35" t="s">
        <v>0</v>
      </c>
      <c r="Z4" s="35" t="s">
        <v>19</v>
      </c>
      <c r="AA4" s="35" t="s">
        <v>4</v>
      </c>
      <c r="AB4" s="35" t="s">
        <v>17</v>
      </c>
      <c r="AC4" s="35" t="s">
        <v>18</v>
      </c>
      <c r="AD4" s="35" t="s">
        <v>20</v>
      </c>
      <c r="AE4" s="35" t="s">
        <v>16</v>
      </c>
      <c r="AF4" s="35" t="s">
        <v>29</v>
      </c>
      <c r="AG4" s="35" t="s">
        <v>14</v>
      </c>
      <c r="AH4" s="35" t="s">
        <v>30</v>
      </c>
      <c r="AI4" s="35" t="s">
        <v>31</v>
      </c>
      <c r="AJ4" s="35" t="s">
        <v>32</v>
      </c>
      <c r="AK4" s="35" t="s">
        <v>33</v>
      </c>
      <c r="AL4" s="35" t="s">
        <v>2</v>
      </c>
      <c r="AM4" s="35" t="s">
        <v>34</v>
      </c>
      <c r="AN4" s="35" t="s">
        <v>35</v>
      </c>
      <c r="AO4" s="35" t="s">
        <v>5</v>
      </c>
      <c r="AP4" s="35" t="s">
        <v>44</v>
      </c>
      <c r="AQ4" s="35" t="s">
        <v>39</v>
      </c>
      <c r="AR4" s="35" t="s">
        <v>45</v>
      </c>
      <c r="AS4" s="35" t="s">
        <v>46</v>
      </c>
      <c r="AT4" s="35" t="s">
        <v>47</v>
      </c>
      <c r="AU4" s="35" t="s">
        <v>48</v>
      </c>
      <c r="AV4" s="35" t="s">
        <v>49</v>
      </c>
      <c r="AW4" s="35" t="s">
        <v>50</v>
      </c>
      <c r="AX4" s="35" t="s">
        <v>51</v>
      </c>
      <c r="AY4" s="35" t="s">
        <v>27</v>
      </c>
      <c r="AZ4" s="35" t="s">
        <v>36</v>
      </c>
      <c r="BA4" s="35" t="s">
        <v>21</v>
      </c>
      <c r="BB4" s="35" t="s">
        <v>42</v>
      </c>
      <c r="BC4" s="35" t="s">
        <v>38</v>
      </c>
      <c r="BD4" s="35" t="s">
        <v>40</v>
      </c>
      <c r="BE4" s="35" t="s">
        <v>9</v>
      </c>
      <c r="BF4" s="35" t="s">
        <v>23</v>
      </c>
      <c r="BG4" s="35" t="s">
        <v>52</v>
      </c>
      <c r="BH4" s="35" t="s">
        <v>22</v>
      </c>
      <c r="BI4" s="35" t="s">
        <v>53</v>
      </c>
      <c r="BJ4" s="35" t="s">
        <v>54</v>
      </c>
      <c r="BK4" s="35" t="s">
        <v>55</v>
      </c>
      <c r="BL4" s="35" t="s">
        <v>28</v>
      </c>
      <c r="BM4" s="35" t="s">
        <v>56</v>
      </c>
      <c r="BN4" s="35" t="s">
        <v>57</v>
      </c>
      <c r="BO4" s="35" t="s">
        <v>58</v>
      </c>
      <c r="BP4" s="35" t="s">
        <v>26</v>
      </c>
      <c r="BQ4" s="35" t="s">
        <v>59</v>
      </c>
      <c r="BR4" s="35" t="s">
        <v>60</v>
      </c>
      <c r="BS4" s="35" t="s">
        <v>61</v>
      </c>
      <c r="BT4" s="35" t="s">
        <v>13</v>
      </c>
      <c r="BU4" s="35" t="s">
        <v>62</v>
      </c>
      <c r="BV4" s="35" t="s">
        <v>313</v>
      </c>
      <c r="BW4" s="35" t="s">
        <v>63</v>
      </c>
      <c r="BX4" s="35" t="s">
        <v>64</v>
      </c>
      <c r="BY4" s="35" t="s">
        <v>11</v>
      </c>
      <c r="BZ4" s="35" t="s">
        <v>65</v>
      </c>
      <c r="CA4" s="35" t="s">
        <v>66</v>
      </c>
      <c r="CB4" s="35" t="s">
        <v>67</v>
      </c>
      <c r="CC4" s="35" t="s">
        <v>68</v>
      </c>
      <c r="CD4" s="35" t="s">
        <v>25</v>
      </c>
      <c r="CE4" s="35" t="s">
        <v>24</v>
      </c>
      <c r="CF4" s="35" t="s">
        <v>69</v>
      </c>
      <c r="CG4" s="35" t="s">
        <v>314</v>
      </c>
      <c r="CH4" s="35" t="s">
        <v>315</v>
      </c>
      <c r="CI4" s="35" t="s">
        <v>316</v>
      </c>
      <c r="CJ4" s="35" t="s">
        <v>317</v>
      </c>
      <c r="CK4" s="35" t="s">
        <v>1</v>
      </c>
      <c r="CL4" s="35" t="s">
        <v>6</v>
      </c>
      <c r="CM4" s="42" t="s">
        <v>41</v>
      </c>
      <c r="CN4" s="42" t="s">
        <v>43</v>
      </c>
      <c r="CO4" s="42" t="s">
        <v>10</v>
      </c>
      <c r="CP4" s="42" t="s">
        <v>70</v>
      </c>
      <c r="CQ4" s="42" t="s">
        <v>71</v>
      </c>
      <c r="CR4" s="42" t="s">
        <v>72</v>
      </c>
      <c r="CS4" s="42" t="s">
        <v>73</v>
      </c>
      <c r="CT4" s="41" t="s">
        <v>74</v>
      </c>
      <c r="CU4" s="41" t="s">
        <v>75</v>
      </c>
      <c r="CV4" s="41" t="s">
        <v>76</v>
      </c>
      <c r="CW4" s="41" t="s">
        <v>77</v>
      </c>
      <c r="CX4" s="41" t="s">
        <v>78</v>
      </c>
      <c r="CY4" s="43" t="s">
        <v>79</v>
      </c>
      <c r="CZ4" s="43" t="s">
        <v>80</v>
      </c>
      <c r="DA4" s="43" t="s">
        <v>37</v>
      </c>
      <c r="DB4" s="43" t="s">
        <v>81</v>
      </c>
      <c r="DC4" s="43" t="s">
        <v>82</v>
      </c>
      <c r="DD4" s="35" t="s">
        <v>86</v>
      </c>
      <c r="DE4" s="35" t="s">
        <v>83</v>
      </c>
      <c r="DF4" s="35" t="s">
        <v>84</v>
      </c>
      <c r="DG4" s="35" t="s">
        <v>85</v>
      </c>
      <c r="DH4" s="35" t="s">
        <v>87</v>
      </c>
      <c r="DI4" s="35" t="s">
        <v>88</v>
      </c>
      <c r="DJ4" s="35" t="s">
        <v>89</v>
      </c>
      <c r="DK4" s="35" t="s">
        <v>90</v>
      </c>
      <c r="DL4" s="35" t="s">
        <v>91</v>
      </c>
      <c r="DM4" s="35" t="s">
        <v>92</v>
      </c>
      <c r="DN4" s="35" t="s">
        <v>93</v>
      </c>
      <c r="DO4" s="35" t="s">
        <v>94</v>
      </c>
      <c r="DP4" s="35" t="s">
        <v>95</v>
      </c>
      <c r="DQ4" s="35" t="s">
        <v>218</v>
      </c>
      <c r="DR4" s="150" t="s">
        <v>318</v>
      </c>
    </row>
    <row r="5" spans="1:122" ht="20.100000000000001" customHeight="1" thickBot="1" x14ac:dyDescent="0.3">
      <c r="A5" s="10">
        <v>1</v>
      </c>
      <c r="B5" s="117" t="s">
        <v>449</v>
      </c>
      <c r="C5" s="114"/>
      <c r="D5" s="115"/>
      <c r="E5" s="114"/>
      <c r="F5" s="114"/>
      <c r="G5" s="114"/>
      <c r="H5" s="116"/>
      <c r="I5" s="590"/>
      <c r="J5" s="18"/>
      <c r="K5" s="18"/>
      <c r="L5" s="210">
        <v>1</v>
      </c>
      <c r="M5" s="207" t="str">
        <f>IF(C5=1,"А",IF(C5=2,"ГММ",IF(C5=3,"Ц",IF(C5=4,"П",IF(C5=5,"АА",IF(C5=6,"-",IF(C5=7,"-",IF(C5=8,"Ц",IF(C5=9,"ННД",IF(C5=10,"-",IF(C5=11,"-",IF(C5=12,"-",IF(C5="*","О","")))))))))))))</f>
        <v/>
      </c>
      <c r="N5" s="208" t="str">
        <f>IF(D5=1,"А",IF(D5=2,"ГММ",IF(D5=3,"Ц",IF(D5=4,"П",IF(D5=5,"АА",IF(D5=6,"-",IF(D5=7,"-",IF(D5=8,"Ц",IF(D5=9,"ННД",IF(D5=10,"-",IF(D5=11,"-",IF(D5=12,"-",IF(D5="*","О","")))))))))))))</f>
        <v/>
      </c>
      <c r="O5" s="209" t="str">
        <f>IF(E5=1,"А",IF(E5=2,"ГММ",IF(E5=3,"Ц",IF(E5=4,"П",IF(E5=5,"АА",IF(E5=6,"-",IF(E5=7,"-",IF(E5=8,"Ц",IF(E5=9,"ННД",IF(E5=10,"-",IF(E5=11,"-",IF(E5=12,"-",IF(E5="*","О","")))))))))))))</f>
        <v/>
      </c>
      <c r="P5" s="207" t="str">
        <f>IF(F5=1,"-",IF(F5=2,"d",IF(F5=3,"-",IF(F5=4,"-",IF(F5=5,"-",IF(F5=6,"-",IF(F5=7,"-",IF(F5=8,"-",IF(F5=9,"-",IF(F5=10,"С",IF(F5=11,"-",IF(F5=12,"-",IF(F5="*","О","")))))))))))))</f>
        <v/>
      </c>
      <c r="Q5" s="208" t="str">
        <f>IF(G5=1,"-",IF(G5=2,"d",IF(G5=3,"-",IF(G5=4,"-",IF(G5=5,"-",IF(G5=6,"-",IF(G5=7,"-",IF(G5=8,"-",IF(G5=9,"-",IF(G5=10,"С",IF(G5=11,"-",IF(G5=12,"-",IF(G5="*","О","")))))))))))))</f>
        <v/>
      </c>
      <c r="R5" s="209" t="str">
        <f>IF(H5=1,"-",IF(H5=2,"d",IF(H5=3,"-",IF(H5=4,"-",IF(H5=5,"-",IF(H5=6,"-",IF(H5=7,"-",IF(H5=8,"-",IF(H5=9,"-",IF(H5=10,"С",IF(H5=11,"-",IF(H5=12,"-",IF(H5="*","О","")))))))))))))</f>
        <v/>
      </c>
      <c r="S5" s="8"/>
      <c r="T5" s="20"/>
      <c r="U5" s="48">
        <f>COUNTIF(C5:H29,"*")</f>
        <v>0</v>
      </c>
      <c r="V5" s="48">
        <f>COUNTIF(M5:R29,"Г")</f>
        <v>0</v>
      </c>
      <c r="W5" s="48">
        <f>COUNTIF(M5:R29,"Ц")</f>
        <v>0</v>
      </c>
      <c r="X5" s="48">
        <f>COUNTIF(M5:R29,"Л")</f>
        <v>0</v>
      </c>
      <c r="Y5" s="48">
        <f>COUNTIF(M5:R29,"А")</f>
        <v>0</v>
      </c>
      <c r="Z5" s="48">
        <f>COUNTIF(M5:R29,"С")</f>
        <v>0</v>
      </c>
      <c r="AA5" s="48">
        <f>COUNTIF(M5:R29,"П")</f>
        <v>0</v>
      </c>
      <c r="AB5" s="48">
        <f>COUNTIF(M5:R29,"Ш")</f>
        <v>0</v>
      </c>
      <c r="AC5" s="48">
        <f>COUNTIF(M5:R29,"Э")</f>
        <v>0</v>
      </c>
      <c r="AD5" s="48">
        <f>COUNTIF(M5:R29,"И")</f>
        <v>0</v>
      </c>
      <c r="AE5" s="48">
        <f>COUNTIF(M5:R29,"Н")</f>
        <v>0</v>
      </c>
      <c r="AF5" s="48">
        <f>COUNTIF(M5:R29,"К")</f>
        <v>0</v>
      </c>
      <c r="AG5" s="48">
        <f>COUNTIF(M5:R29,"О")</f>
        <v>0</v>
      </c>
      <c r="AH5" s="48">
        <f>COUNTIF(M5:R29,"Д")</f>
        <v>0</v>
      </c>
      <c r="AI5" s="48">
        <f>COUNTIF(M5:R29,"Т")</f>
        <v>0</v>
      </c>
      <c r="AJ5" s="48">
        <f>COUNTIF(M5:R29,"В")</f>
        <v>0</v>
      </c>
      <c r="AK5" s="48">
        <f>COUNTIF(M5:R29,"Е")</f>
        <v>0</v>
      </c>
      <c r="AL5" s="48">
        <f>COUNTIF(M5:R29,"d")</f>
        <v>0</v>
      </c>
      <c r="AM5" s="48">
        <f>COUNTIF(M5:R29,"М")</f>
        <v>0</v>
      </c>
      <c r="AN5" s="48">
        <f>COUNTIF(M5:R29,"Ф")</f>
        <v>0</v>
      </c>
      <c r="AO5" s="34">
        <f>COUNTIF(M5:R29,"АА")</f>
        <v>0</v>
      </c>
      <c r="AP5" s="34">
        <f>COUNTIF(M5:R29,"ИИ")</f>
        <v>0</v>
      </c>
      <c r="AQ5" s="34">
        <f>COUNTIF(M5:R29,"НН")</f>
        <v>0</v>
      </c>
      <c r="AR5" s="34">
        <f>COUNTIF(M5:R29,"СС")</f>
        <v>0</v>
      </c>
      <c r="AS5" s="34">
        <f>COUNTIF(M5:R29,"ЭЭ")</f>
        <v>0</v>
      </c>
      <c r="AT5" s="34">
        <f>COUNTIF(M5:R29,"ПП")</f>
        <v>0</v>
      </c>
      <c r="AU5" s="34">
        <f>COUNTIF(M5:R29,"ШШ")</f>
        <v>0</v>
      </c>
      <c r="AV5" s="34">
        <f>COUNTIF(M5:R29,"ТТ")</f>
        <v>0</v>
      </c>
      <c r="AW5" s="34">
        <f>COUNTIF(M5:R29,"ГГ")</f>
        <v>0</v>
      </c>
      <c r="AX5" s="34">
        <f>COUNTIF(M5:R29,"ММ")</f>
        <v>0</v>
      </c>
      <c r="AY5" s="34">
        <f>COUNTIF(M5:R29,"ГН")</f>
        <v>0</v>
      </c>
      <c r="AZ5" s="34">
        <f>COUNTIF(M5:R29,"ЦА")</f>
        <v>0</v>
      </c>
      <c r="BA5" s="34">
        <f>COUNTIF(M5:R29,"ЛА")</f>
        <v>0</v>
      </c>
      <c r="BB5" s="34">
        <f>COUNTIF(M5:R29,"СТ")</f>
        <v>0</v>
      </c>
      <c r="BC5" s="34">
        <f>COUNTIF(M5:R29,"Аd")</f>
        <v>0</v>
      </c>
      <c r="BD5" s="34">
        <f>COUNTIF(M5:R29,"ЛМ")</f>
        <v>0</v>
      </c>
      <c r="BE5" s="34">
        <f>COUNTIF(M5:R29,"СЛ")</f>
        <v>0</v>
      </c>
      <c r="BF5" s="34">
        <f>COUNTIF(M5:R29,"ЛИ")</f>
        <v>0</v>
      </c>
      <c r="BG5" s="34">
        <f>COUNTIF(M5:R29,"КВ")</f>
        <v>0</v>
      </c>
      <c r="BH5" s="34">
        <f>COUNTIF(M5:R29,"ЛС")</f>
        <v>0</v>
      </c>
      <c r="BI5" s="34">
        <f>COUNTIF(M5:R29,"ГЛ")</f>
        <v>0</v>
      </c>
      <c r="BJ5" s="34">
        <f>COUNTIF(M5:R29,"ОЭ")</f>
        <v>0</v>
      </c>
      <c r="BK5" s="34">
        <f>COUNTIF(M5:R29,"ОЕ")</f>
        <v>0</v>
      </c>
      <c r="BL5" s="34">
        <f>COUNTIF(M5:R29,"АС")</f>
        <v>0</v>
      </c>
      <c r="BM5" s="34">
        <f>COUNTIF(M5:R29,"КФ")</f>
        <v>0</v>
      </c>
      <c r="BN5" s="34">
        <f>COUNTIF(M5:R29,"АВ")</f>
        <v>0</v>
      </c>
      <c r="BO5" s="34">
        <f>COUNTIF(M5:R29,"ИМ")</f>
        <v>0</v>
      </c>
      <c r="BP5" s="34">
        <f>COUNTIF(M5:R29,"ГЦ")</f>
        <v>0</v>
      </c>
      <c r="BQ5" s="34">
        <f>COUNTIF(M5:R29,"ЭФ")</f>
        <v>0</v>
      </c>
      <c r="BR5" s="34">
        <f>COUNTIF(M5:R29,"ЛЭ")</f>
        <v>0</v>
      </c>
      <c r="BS5" s="34">
        <f>COUNTIF(M5:R29,"ИД")</f>
        <v>0</v>
      </c>
      <c r="BT5" s="34">
        <f>COUNTIF(M5:R29,"ШВ")</f>
        <v>0</v>
      </c>
      <c r="BU5" s="31">
        <f>COUNTIF(M5:R29,"ШП")</f>
        <v>0</v>
      </c>
      <c r="BV5" s="31">
        <f>COUNTIF(M5:R29,"ddd")</f>
        <v>0</v>
      </c>
      <c r="BW5" s="31">
        <f>COUNTIF(M5:R29,"ШЕ")</f>
        <v>0</v>
      </c>
      <c r="BX5" s="31">
        <f>COUNTIF(M5:R29,"Эd")</f>
        <v>0</v>
      </c>
      <c r="BY5" s="31">
        <f>COUNTIF(M5:R29,"ЛН")</f>
        <v>0</v>
      </c>
      <c r="BZ5" s="31">
        <f>COUNTIF(M5:R29,"СМ")</f>
        <v>0</v>
      </c>
      <c r="CA5" s="31">
        <f>COUNTIF(M5:R29,"ДЕ")</f>
        <v>0</v>
      </c>
      <c r="CB5" s="31">
        <f>COUNTIF(M5:R29,"ЦЛ")</f>
        <v>0</v>
      </c>
      <c r="CC5" s="31">
        <f>COUNTIF(M5:R29,"ЛФ")</f>
        <v>0</v>
      </c>
      <c r="CD5" s="31">
        <f>COUNTIF(M5:R29,"ЭИ")</f>
        <v>0</v>
      </c>
      <c r="CE5" s="31">
        <f>COUNTIF(M5:R29,"ШИ")</f>
        <v>0</v>
      </c>
      <c r="CF5" s="31">
        <f>COUNTIF(M5:R29,"АО")</f>
        <v>0</v>
      </c>
      <c r="CG5" s="31">
        <f>COUNTIF(M5:R29,"НЕd")</f>
        <v>0</v>
      </c>
      <c r="CH5" s="31">
        <f>COUNTIF(M5:R29,"ШШЕ")</f>
        <v>0</v>
      </c>
      <c r="CI5" s="31">
        <f>COUNTIF(M5:R29,"ППЭ")</f>
        <v>0</v>
      </c>
      <c r="CJ5" s="31">
        <f>COUNTIF(M5:R29,"ЭИД")</f>
        <v>0</v>
      </c>
      <c r="CK5" s="31">
        <f>COUNTIF(M5:R29,"ГММ")</f>
        <v>0</v>
      </c>
      <c r="CL5" s="31">
        <f>COUNTIF(M5:R29,"ННД")</f>
        <v>0</v>
      </c>
      <c r="CM5" s="31">
        <f>COUNTIF(M5:R29,"ЛЛП")</f>
        <v>0</v>
      </c>
      <c r="CN5" s="31">
        <f>COUNTIF(M5:R29,"ЦЭМ")</f>
        <v>0</v>
      </c>
      <c r="CO5" s="31">
        <f>COUNTIF(M5:R29,"ТТТ")</f>
        <v>0</v>
      </c>
      <c r="CP5" s="31">
        <f>COUNTIF(M5:R29,"ЭНД")</f>
        <v>0</v>
      </c>
      <c r="CQ5" s="31">
        <f>COUNTIF(M5:R29,"ЛЛВ")</f>
        <v>0</v>
      </c>
      <c r="CR5" s="31">
        <f>COUNTIF(M5:R29,"ЕФФ")</f>
        <v>0</v>
      </c>
      <c r="CS5" s="31">
        <f>COUNTIF(M5:R29,"ГЭН")</f>
        <v>0</v>
      </c>
      <c r="CT5" s="31">
        <f>COUNTIF(M5:R29,"ЭИВ")</f>
        <v>0</v>
      </c>
      <c r="CU5" s="31">
        <f>COUNTIF(M5:R29,"ЭЭd")</f>
        <v>0</v>
      </c>
      <c r="CV5" s="31">
        <f>COUNTIF(M5:R29,"ППВ")</f>
        <v>0</v>
      </c>
      <c r="CW5" s="31">
        <f>COUNTIF(M5:R29,"СШШ")</f>
        <v>0</v>
      </c>
      <c r="CX5" s="31">
        <f>COUNTIF(M5:R29,"ЦПМ")</f>
        <v>0</v>
      </c>
      <c r="CY5" s="31">
        <f>COUNTIF(M5:R29,"ГГЕ")</f>
        <v>0</v>
      </c>
      <c r="CZ5" s="54">
        <f>COUNTIF(M5:R29,"ЭЭН")</f>
        <v>0</v>
      </c>
      <c r="DA5" s="31">
        <f>COUNTIF(M5:R29,"ГНММ")</f>
        <v>0</v>
      </c>
      <c r="DB5" s="31">
        <f>COUNTIF(M5:R29,"ГЛПЭ")</f>
        <v>0</v>
      </c>
      <c r="DC5" s="31">
        <f>COUNTIF(M5:R29,"ШШdd")</f>
        <v>0</v>
      </c>
      <c r="DD5" s="31">
        <f>COUNTIF(M5:R29,"ЕФФФ")</f>
        <v>0</v>
      </c>
      <c r="DE5" s="31">
        <f>COUNTIF(M5:R29,"ПШШЭ")</f>
        <v>0</v>
      </c>
      <c r="DF5" s="31">
        <f>COUNTIF(M5:R29,"СПШШШ")</f>
        <v>0</v>
      </c>
      <c r="DG5" s="31">
        <f>COUNTIF(M5:R29,"ИИЕФФ")</f>
        <v>0</v>
      </c>
      <c r="DH5" s="31">
        <f>COUNTIF(M5:R29,"СПШ(-3)")</f>
        <v>0</v>
      </c>
      <c r="DI5" s="31">
        <f>COUNTIF(M5:R29,"ГГ(+2)")</f>
        <v>0</v>
      </c>
      <c r="DJ5" s="31">
        <f>COUNTIF(M5:R29,"ЦЛ(+2)")</f>
        <v>0</v>
      </c>
      <c r="DK5" s="31">
        <f>COUNTIF(M5:R29,"М(+1)")</f>
        <v>0</v>
      </c>
      <c r="DL5" s="31">
        <f>COUNTIF(M5:R29,"С(-1)")</f>
        <v>0</v>
      </c>
      <c r="DM5" s="31">
        <f>COUNTIF(M5:R29,"С(-3)")</f>
        <v>0</v>
      </c>
      <c r="DN5" s="31">
        <f>COUNTIF(M5:R29,"(-1)")</f>
        <v>0</v>
      </c>
      <c r="DO5" s="31">
        <f>COUNTIF(M5:R29,"(+1)")</f>
        <v>0</v>
      </c>
      <c r="DP5" s="31">
        <f>COUNTIF(M5:R29,"(+2)")</f>
        <v>0</v>
      </c>
      <c r="DQ5" s="31">
        <f>COUNTIF(M5:R29,"Цd")</f>
        <v>0</v>
      </c>
      <c r="DR5" s="31">
        <f>COUNTIF(M5:R29,"ГЭИНН")</f>
        <v>0</v>
      </c>
    </row>
    <row r="6" spans="1:122" ht="20.100000000000001" customHeight="1" thickBot="1" x14ac:dyDescent="0.3">
      <c r="A6" s="10">
        <v>2</v>
      </c>
      <c r="B6" s="117" t="s">
        <v>450</v>
      </c>
      <c r="C6" s="308"/>
      <c r="D6" s="309"/>
      <c r="E6" s="308"/>
      <c r="F6" s="308"/>
      <c r="G6" s="308"/>
      <c r="H6" s="310"/>
      <c r="I6" s="590"/>
      <c r="J6" s="18"/>
      <c r="K6" s="18"/>
      <c r="L6" s="211">
        <v>2</v>
      </c>
      <c r="M6" s="202" t="str">
        <f>IF(C6=1,"ГН",IF(C6=2,"П",IF(C6=3,"-",IF(C6=4,"-",IF(C6=5,"-",IF(C6=6,"ЦА",IF(C6=7,"Ш",IF(C6=8,"-",IF(C6=9,"-",IF(C6=10,"СЛ",IF(C6=11,"Т",IF(C6=12,"-",IF(C6="*","О","")))))))))))))</f>
        <v/>
      </c>
      <c r="N6" s="30" t="str">
        <f>IF(D6=1,"ГН",IF(D6=2,"П",IF(D6=3,"-",IF(D6=4,"-",IF(D6=5,"-",IF(D6=6,"ЦА",IF(D6=7,"Ш",IF(D6=8,"-",IF(D6=9,"-",IF(D6=10,"СЛ",IF(D6=11,"Т",IF(D6=12,"-",IF(D6="*","О","")))))))))))))</f>
        <v/>
      </c>
      <c r="O6" s="203" t="str">
        <f>IF(E6=1,"ГН",IF(E6=2,"П",IF(E6=3,"-",IF(E6=4,"-",IF(E6=5,"-",IF(E6=6,"ЦА",IF(E6=7,"Ш",IF(E6=8,"-",IF(E6=9,"-",IF(E6=10,"СЛ",IF(E6=11,"Т",IF(E6=12,"-",IF(E6="*","О","")))))))))))))</f>
        <v/>
      </c>
      <c r="P6" s="202" t="str">
        <f>IF(F6=1,"*",IF(F6=2,"Г",IF(F6=3,"-",IF(F6=4,"-",IF(F6=5,"-",IF(F6=6,"-",IF(F6=7,"-",IF(F6=8,"-",IF(F6=9,"-",IF(F6=10,"d",IF(F6=11,"-",IF(F6=12,"-",IF(F6="*","О","")))))))))))))</f>
        <v/>
      </c>
      <c r="Q6" s="30" t="str">
        <f>IF(G6=1,"-",IF(G6=2,"Г",IF(G6=3,"-",IF(G6=4,"-",IF(G6=5,"-",IF(G6=6,"-",IF(G6=7,"-",IF(G6=8,"-",IF(G6=9,"-",IF(G6=10,"d",IF(G6=11,"-",IF(G6=12,"-",IF(G6="О","*","")))))))))))))</f>
        <v/>
      </c>
      <c r="R6" s="203" t="str">
        <f>IF(H6=1,"-",IF(H6=2,"Г",IF(H6=3,"-",IF(H6=4,"-",IF(H6=5,"-",IF(H6=6,"-",IF(H6=7,"-",IF(H6=8,"-",IF(H6=9,"-",IF(H6=10,"d",IF(H6=11,"-",IF(H6=12,"-",IF(H6="*","О","")))))))))))))</f>
        <v/>
      </c>
      <c r="S6" s="8"/>
      <c r="T6" s="20"/>
      <c r="U6" s="34"/>
      <c r="V6" s="34">
        <f>AW6</f>
        <v>0</v>
      </c>
      <c r="W6" s="34">
        <f>AZ7</f>
        <v>0</v>
      </c>
      <c r="X6" s="47">
        <f>BA7</f>
        <v>0</v>
      </c>
      <c r="Y6" s="34">
        <f>AO6</f>
        <v>0</v>
      </c>
      <c r="Z6" s="47">
        <f>AR6</f>
        <v>0</v>
      </c>
      <c r="AA6" s="34">
        <f>AT6</f>
        <v>0</v>
      </c>
      <c r="AB6" s="34">
        <f>AU6</f>
        <v>0</v>
      </c>
      <c r="AC6" s="34">
        <f>AS6</f>
        <v>0</v>
      </c>
      <c r="AD6" s="34">
        <f>AP6</f>
        <v>0</v>
      </c>
      <c r="AE6" s="34">
        <f>AQ6</f>
        <v>0</v>
      </c>
      <c r="AF6" s="34">
        <f>BG7</f>
        <v>0</v>
      </c>
      <c r="AG6" s="34">
        <f>BJ7</f>
        <v>0</v>
      </c>
      <c r="AH6" s="34">
        <f>BS8</f>
        <v>0</v>
      </c>
      <c r="AI6" s="34">
        <f>AV6</f>
        <v>0</v>
      </c>
      <c r="AJ6" s="34">
        <f>BG8</f>
        <v>0</v>
      </c>
      <c r="AK6" s="34">
        <f>BK8</f>
        <v>0</v>
      </c>
      <c r="AL6" s="34">
        <f>BC8</f>
        <v>0</v>
      </c>
      <c r="AM6" s="34">
        <f>AX6</f>
        <v>0</v>
      </c>
      <c r="AN6" s="34">
        <f>BM8</f>
        <v>0</v>
      </c>
      <c r="AO6" s="34">
        <f t="shared" ref="AO6:AX6" si="0">AO5*2</f>
        <v>0</v>
      </c>
      <c r="AP6" s="34">
        <f t="shared" si="0"/>
        <v>0</v>
      </c>
      <c r="AQ6" s="34">
        <f t="shared" si="0"/>
        <v>0</v>
      </c>
      <c r="AR6" s="34">
        <f t="shared" si="0"/>
        <v>0</v>
      </c>
      <c r="AS6" s="34">
        <f t="shared" si="0"/>
        <v>0</v>
      </c>
      <c r="AT6" s="34">
        <f t="shared" si="0"/>
        <v>0</v>
      </c>
      <c r="AU6" s="34">
        <f t="shared" si="0"/>
        <v>0</v>
      </c>
      <c r="AV6" s="34">
        <f t="shared" si="0"/>
        <v>0</v>
      </c>
      <c r="AW6" s="34">
        <f t="shared" si="0"/>
        <v>0</v>
      </c>
      <c r="AX6" s="34">
        <f t="shared" si="0"/>
        <v>0</v>
      </c>
      <c r="AY6" s="34"/>
      <c r="AZ6" s="34"/>
      <c r="BA6" s="34"/>
      <c r="BB6" s="34"/>
      <c r="BC6" s="34"/>
      <c r="BD6" s="34"/>
      <c r="BE6" s="34"/>
      <c r="BF6" s="34"/>
      <c r="BG6" s="34"/>
      <c r="BH6" s="34"/>
      <c r="BI6" s="45"/>
      <c r="BJ6" s="45"/>
      <c r="BK6" s="45"/>
      <c r="BL6" s="45"/>
      <c r="BM6" s="45"/>
      <c r="BN6" s="45"/>
      <c r="BO6" s="45"/>
      <c r="BP6" s="45"/>
      <c r="BQ6" s="45"/>
      <c r="BR6" s="45"/>
      <c r="BS6" s="45"/>
      <c r="BT6" s="45"/>
      <c r="BU6" s="46"/>
      <c r="BV6" s="46"/>
      <c r="BW6" s="46"/>
      <c r="BX6" s="46"/>
      <c r="BY6" s="46"/>
      <c r="BZ6" s="46"/>
      <c r="CA6" s="46"/>
      <c r="CB6" s="46"/>
      <c r="CC6" s="46"/>
      <c r="CD6" s="46"/>
      <c r="CE6" s="46"/>
      <c r="CF6" s="46"/>
      <c r="CG6" s="46"/>
      <c r="CH6" s="46"/>
      <c r="CI6" s="46"/>
      <c r="CJ6" s="46"/>
      <c r="CK6" s="31"/>
      <c r="CL6" s="31"/>
      <c r="CM6" s="31"/>
      <c r="CN6" s="31"/>
      <c r="CO6" s="31"/>
      <c r="CP6" s="31"/>
      <c r="CQ6" s="31"/>
      <c r="CR6" s="31"/>
      <c r="CS6" s="31"/>
      <c r="CT6" s="31"/>
      <c r="CU6" s="31"/>
      <c r="CV6" s="31"/>
      <c r="CW6" s="31"/>
      <c r="CX6" s="31"/>
      <c r="CY6" s="31"/>
      <c r="CZ6" s="54"/>
      <c r="DA6" s="31"/>
      <c r="DB6" s="31"/>
      <c r="DC6" s="31"/>
      <c r="DD6" s="31"/>
      <c r="DE6" s="31"/>
      <c r="DF6" s="31"/>
      <c r="DG6" s="31"/>
      <c r="DH6" s="31"/>
      <c r="DI6" s="31"/>
      <c r="DJ6" s="31"/>
      <c r="DK6" s="31"/>
      <c r="DL6" s="31"/>
      <c r="DM6" s="31"/>
      <c r="DN6" s="31"/>
      <c r="DO6" s="31"/>
      <c r="DP6" s="31"/>
      <c r="DQ6" s="5"/>
      <c r="DR6" s="31"/>
    </row>
    <row r="7" spans="1:122" ht="20.100000000000001" customHeight="1" thickBot="1" x14ac:dyDescent="0.3">
      <c r="A7" s="21">
        <v>3</v>
      </c>
      <c r="B7" s="118" t="s">
        <v>451</v>
      </c>
      <c r="C7" s="114"/>
      <c r="D7" s="115"/>
      <c r="E7" s="114"/>
      <c r="F7" s="114"/>
      <c r="G7" s="114"/>
      <c r="H7" s="116"/>
      <c r="I7" s="592"/>
      <c r="J7" s="8"/>
      <c r="K7" s="8"/>
      <c r="L7" s="212">
        <v>3</v>
      </c>
      <c r="M7" s="202" t="str">
        <f>IF(C7=1,"ГНММ",IF(C7=2,"-",IF(C7=3,"К",IF(C7=4,"Ad",IF(C7=5,"-",IF(C7=6,"Ц",IF(C7=7,"А",IF(C7=8,"-",IF(C7=9,"-",IF(C7=10,"ЛА",IF(C7=11,"-",IF(C7=12,"-",IF(C7=13,"-",IF(C7=14,"-",IF(C7="*","О","")))))))))))))))</f>
        <v/>
      </c>
      <c r="N7" s="30" t="str">
        <f>IF(D7=1,"ГНММ",IF(D7=2,"-",IF(D7=3,"К",IF(D7=4,"Ad",IF(D7=5,"-",IF(D7=6,"Ц",IF(D7=7,"А",IF(D7=8,"-",IF(D7=9,"-",IF(D7=10,"ЛА",IF(D7=11,"-",IF(D7=12,"-",IF(D7=13,"-",IF(D7=14,"-",IF(D7="*","О","")))))))))))))))</f>
        <v/>
      </c>
      <c r="O7" s="203" t="str">
        <f>IF(E7=1,"ГНММ",IF(E7=2,"-",IF(E7=3,"К",IF(E7=4,"Ad",IF(E7=5,"-",IF(E7=6,"Ц",IF(E7=7,"А",IF(E7=8,"-",IF(E7=9,"-",IF(E7=10,"ЛА",IF(E7=11,"-",IF(E7=12,"-",IF(E7=13,"-",IF(E7=14,"-",IF(E7="*","О","")))))))))))))))</f>
        <v/>
      </c>
      <c r="P7" s="202" t="str">
        <f>IF(F7=1,"-",IF(F7=2,"Э",IF(F7=3,"-",IF(F7=4,"В",IF(F7=5,"Ц",IF(F7=6,"-",IF(F7=7,"-",IF(F7=8,"-",IF(F7=9,"-",IF(F7=10,"-",IF(F7=11,"-",IF(F7=12,"-",IF(F7=13,"-",IF(F7=14,"А",IF(F7="*","О","")))))))))))))))</f>
        <v/>
      </c>
      <c r="Q7" s="30" t="str">
        <f>IF(G7=1,"-",IF(G7=2,"Э",IF(G7=3,"-",IF(G7=4,"В",IF(G7=5,"Ц",IF(G7=6,"-",IF(G7=7,"-",IF(G7=8,"-",IF(G7=9,"-",IF(G7=10,"-",IF(G7=11,"-",IF(G7=12,"-",IF(G7=13,"-",IF(G7=14,"А",IF(G7="*","О","")))))))))))))))</f>
        <v/>
      </c>
      <c r="R7" s="203" t="str">
        <f>IF(H7=1,"-",IF(H7=2,"Э",IF(H7=3,"-",IF(H7=4,"В",IF(H7=5,"Ц",IF(H7=6,"-",IF(H7=7,"-",IF(H7=8,"-",IF(H7=9,"-",IF(H7=10,"-",IF(H7=11,"-",IF(H7=12,"-",IF(H7=13,"-",IF(H7=14,"А",IF(H7="*","О","")))))))))))))))</f>
        <v/>
      </c>
      <c r="U7" s="31"/>
      <c r="V7" s="37">
        <f>AY7</f>
        <v>0</v>
      </c>
      <c r="W7" s="37">
        <f>BP8</f>
        <v>0</v>
      </c>
      <c r="X7" s="47">
        <f>BD7</f>
        <v>0</v>
      </c>
      <c r="Y7" s="37">
        <f>AZ8</f>
        <v>0</v>
      </c>
      <c r="Z7" s="47">
        <f>BB7</f>
        <v>0</v>
      </c>
      <c r="AA7" s="51">
        <f>CM8</f>
        <v>0</v>
      </c>
      <c r="AB7" s="51">
        <f>BT7</f>
        <v>0</v>
      </c>
      <c r="AC7" s="51">
        <f>BJ8</f>
        <v>0</v>
      </c>
      <c r="AD7" s="51">
        <f>BF8</f>
        <v>0</v>
      </c>
      <c r="AE7" s="31">
        <f>AY8</f>
        <v>0</v>
      </c>
      <c r="AF7" s="31">
        <f>BM7</f>
        <v>0</v>
      </c>
      <c r="AG7" s="31">
        <f>BK7</f>
        <v>0</v>
      </c>
      <c r="AH7" s="51">
        <f>CA7</f>
        <v>0</v>
      </c>
      <c r="AI7" s="31">
        <f>BB8</f>
        <v>0</v>
      </c>
      <c r="AJ7" s="31">
        <f>BN8</f>
        <v>0</v>
      </c>
      <c r="AK7" s="31">
        <f>BW8</f>
        <v>0</v>
      </c>
      <c r="AL7" s="31">
        <f>BX8</f>
        <v>0</v>
      </c>
      <c r="AM7" s="31">
        <f>BD8</f>
        <v>0</v>
      </c>
      <c r="AN7" s="31">
        <f>BQ8</f>
        <v>0</v>
      </c>
      <c r="AY7" s="31">
        <f t="shared" ref="AY7:CK7" si="1">AY5</f>
        <v>0</v>
      </c>
      <c r="AZ7" s="31">
        <f t="shared" si="1"/>
        <v>0</v>
      </c>
      <c r="BA7" s="31">
        <f t="shared" si="1"/>
        <v>0</v>
      </c>
      <c r="BB7" s="47">
        <f t="shared" si="1"/>
        <v>0</v>
      </c>
      <c r="BC7" s="31">
        <f t="shared" si="1"/>
        <v>0</v>
      </c>
      <c r="BD7" s="31">
        <f t="shared" si="1"/>
        <v>0</v>
      </c>
      <c r="BE7" s="31">
        <f t="shared" si="1"/>
        <v>0</v>
      </c>
      <c r="BF7" s="31">
        <f t="shared" si="1"/>
        <v>0</v>
      </c>
      <c r="BG7" s="31">
        <f t="shared" si="1"/>
        <v>0</v>
      </c>
      <c r="BH7" s="31">
        <f t="shared" si="1"/>
        <v>0</v>
      </c>
      <c r="BI7" s="31">
        <f t="shared" si="1"/>
        <v>0</v>
      </c>
      <c r="BJ7" s="31">
        <f t="shared" si="1"/>
        <v>0</v>
      </c>
      <c r="BK7" s="31">
        <f t="shared" si="1"/>
        <v>0</v>
      </c>
      <c r="BL7" s="31">
        <f t="shared" si="1"/>
        <v>0</v>
      </c>
      <c r="BM7" s="31">
        <f t="shared" si="1"/>
        <v>0</v>
      </c>
      <c r="BN7" s="31">
        <f t="shared" si="1"/>
        <v>0</v>
      </c>
      <c r="BO7" s="31">
        <f t="shared" si="1"/>
        <v>0</v>
      </c>
      <c r="BP7" s="31">
        <f t="shared" si="1"/>
        <v>0</v>
      </c>
      <c r="BQ7" s="31">
        <f t="shared" si="1"/>
        <v>0</v>
      </c>
      <c r="BR7" s="31">
        <f t="shared" si="1"/>
        <v>0</v>
      </c>
      <c r="BS7" s="31">
        <f t="shared" si="1"/>
        <v>0</v>
      </c>
      <c r="BT7" s="31">
        <f t="shared" si="1"/>
        <v>0</v>
      </c>
      <c r="BU7" s="31">
        <f t="shared" si="1"/>
        <v>0</v>
      </c>
      <c r="BV7" s="31">
        <f>BV5*3</f>
        <v>0</v>
      </c>
      <c r="BW7" s="31">
        <f t="shared" si="1"/>
        <v>0</v>
      </c>
      <c r="BX7" s="31">
        <f t="shared" si="1"/>
        <v>0</v>
      </c>
      <c r="BY7" s="31">
        <f t="shared" si="1"/>
        <v>0</v>
      </c>
      <c r="BZ7" s="31">
        <f t="shared" si="1"/>
        <v>0</v>
      </c>
      <c r="CA7" s="31">
        <f t="shared" si="1"/>
        <v>0</v>
      </c>
      <c r="CB7" s="31">
        <f t="shared" si="1"/>
        <v>0</v>
      </c>
      <c r="CC7" s="31">
        <f t="shared" si="1"/>
        <v>0</v>
      </c>
      <c r="CD7" s="31">
        <f t="shared" si="1"/>
        <v>0</v>
      </c>
      <c r="CE7" s="31">
        <f t="shared" si="1"/>
        <v>0</v>
      </c>
      <c r="CF7" s="53">
        <f t="shared" si="1"/>
        <v>0</v>
      </c>
      <c r="CG7" s="53">
        <f>CG5</f>
        <v>0</v>
      </c>
      <c r="CH7" s="53">
        <f>CH5*2</f>
        <v>0</v>
      </c>
      <c r="CI7" s="53">
        <f>CI5*2</f>
        <v>0</v>
      </c>
      <c r="CJ7" s="53">
        <f>CJ5</f>
        <v>0</v>
      </c>
      <c r="CK7" s="31">
        <f t="shared" si="1"/>
        <v>0</v>
      </c>
      <c r="CL7" s="31">
        <f>CL5*2</f>
        <v>0</v>
      </c>
      <c r="CM7" s="31">
        <f>CM5*2</f>
        <v>0</v>
      </c>
      <c r="CN7" s="31">
        <f>CN5</f>
        <v>0</v>
      </c>
      <c r="CO7" s="31">
        <f>CO5*3</f>
        <v>0</v>
      </c>
      <c r="CP7" s="31">
        <f>CP5</f>
        <v>0</v>
      </c>
      <c r="CQ7" s="31">
        <f>CQ5*2</f>
        <v>0</v>
      </c>
      <c r="CR7" s="31">
        <f>CR5</f>
        <v>0</v>
      </c>
      <c r="CS7" s="31">
        <f>CS5</f>
        <v>0</v>
      </c>
      <c r="CT7" s="31">
        <f>CT5</f>
        <v>0</v>
      </c>
      <c r="CU7" s="31">
        <f>CU5*2</f>
        <v>0</v>
      </c>
      <c r="CV7" s="31">
        <f>CV5*2</f>
        <v>0</v>
      </c>
      <c r="CW7" s="31">
        <f>CW5</f>
        <v>0</v>
      </c>
      <c r="CX7" s="31">
        <f>CX5</f>
        <v>0</v>
      </c>
      <c r="CY7" s="31">
        <f>CY5*2</f>
        <v>0</v>
      </c>
      <c r="CZ7" s="54">
        <f>CZ5*2</f>
        <v>0</v>
      </c>
      <c r="DA7" s="31">
        <f>DA5</f>
        <v>0</v>
      </c>
      <c r="DB7" s="31">
        <f>DB5</f>
        <v>0</v>
      </c>
      <c r="DC7" s="31">
        <f>DC5*2</f>
        <v>0</v>
      </c>
      <c r="DD7" s="31">
        <f>DD5</f>
        <v>0</v>
      </c>
      <c r="DE7" s="31">
        <f>DE5</f>
        <v>0</v>
      </c>
      <c r="DF7" s="31">
        <f>DF5</f>
        <v>0</v>
      </c>
      <c r="DG7" s="31">
        <f>DG5*2</f>
        <v>0</v>
      </c>
      <c r="DH7" s="31">
        <f>DH5</f>
        <v>0</v>
      </c>
      <c r="DI7" s="31">
        <f>DI5*2</f>
        <v>0</v>
      </c>
      <c r="DJ7" s="31">
        <f>DJ5</f>
        <v>0</v>
      </c>
      <c r="DK7" s="31">
        <f>DK5</f>
        <v>0</v>
      </c>
      <c r="DL7" s="31">
        <f>DL5</f>
        <v>0</v>
      </c>
      <c r="DM7" s="31">
        <f>DM5</f>
        <v>0</v>
      </c>
      <c r="DN7" s="31"/>
      <c r="DO7" s="31"/>
      <c r="DP7" s="31"/>
      <c r="DQ7" s="31">
        <f>DQ5</f>
        <v>0</v>
      </c>
      <c r="DR7" s="31">
        <f>DR5</f>
        <v>0</v>
      </c>
    </row>
    <row r="8" spans="1:122" ht="20.100000000000001" customHeight="1" thickBot="1" x14ac:dyDescent="0.3">
      <c r="A8" s="22">
        <v>4</v>
      </c>
      <c r="B8" s="119" t="s">
        <v>452</v>
      </c>
      <c r="C8" s="308"/>
      <c r="D8" s="309"/>
      <c r="E8" s="308"/>
      <c r="F8" s="308"/>
      <c r="G8" s="308"/>
      <c r="H8" s="310"/>
      <c r="I8" s="592"/>
      <c r="J8" s="8"/>
      <c r="K8" s="8"/>
      <c r="L8" s="211">
        <v>4</v>
      </c>
      <c r="M8" s="202" t="str">
        <f>IF(C8=1,"Э",IF(C8=2,"-",IF(C8=3,"Т",IF(C8=4,"Ц",IF(C8=5,"-",IF(C8=6,"Ф",IF(C8=7,"-",IF(C8=8,"А",IF(C8=9,"НН",IF(C8=10,"-",IF(C8=11,"d",IF(C8=12,"Ц",IF(C8=13,"-",IF(C8="*","О",""))))))))))))))</f>
        <v/>
      </c>
      <c r="N8" s="30" t="str">
        <f>IF(D8=1,"Э",IF(D8=2,"-",IF(D8=3,"Т",IF(D8=4,"Ц",IF(D8=5,"-",IF(D8=6,"Ф",IF(D8=7,"-",IF(D8=8,"А",IF(D8=9,"НН",IF(D8=10,"-",IF(D8=11,"d",IF(D8=12,"Ц",IF(D8=13,"-",IF(D8="*","О",""))))))))))))))</f>
        <v/>
      </c>
      <c r="O8" s="203" t="str">
        <f>IF(E8=1,"Э",IF(E8=2,"-",IF(E8=3,"Т",IF(E8=4,"Ц",IF(E8=5,"-",IF(E8=6,"Ф",IF(E8=7,"-",IF(E8=8,"А",IF(E8=9,"НН",IF(E8=10,"-",IF(E8=11,"d",IF(E8=12,"Ц",IF(E8=13,"-",IF(E8="*","О",""))))))))))))))</f>
        <v/>
      </c>
      <c r="P8" s="202" t="str">
        <f>IF(F8=1,"Л",IF(F8=2,"К",IF(F8=3,"-",IF(F8=4,"-",IF(F8=5,"-",IF(F8=6,"-",IF(F8=7,"ЛМ",IF(F8=8,"-",IF(F8=9,"-",IF(F8=10,"-",IF(F8=11,"-",IF(F8=12,"-",IF(F8=13,"-",IF(F8="*","О",""))))))))))))))</f>
        <v/>
      </c>
      <c r="Q8" s="30" t="str">
        <f>IF(G8=1,"Л",IF(G8=2,"К",IF(G8=3,"-",IF(G8=4,"-",IF(G8=5,"-",IF(G8=6,"-",IF(G8=7,"ЛМ",IF(G8=8,"-",IF(G8=9,"-",IF(G8=10,"-",IF(G8=11,"-",IF(G8=12,"-",IF(G8=13,"-",IF(G8="*","О",""))))))))))))))</f>
        <v/>
      </c>
      <c r="R8" s="203" t="str">
        <f>IF(H8=1,"Л",IF(H8=2,"К",IF(H8=3,"-",IF(H8=4,"-",IF(H8=5,"-",IF(H8=6,"-",IF(H8=7,"ЛМ",IF(H8=8,"-",IF(H8=9,"-",IF(H8=10,"-",IF(H8=11,"-",IF(H8=12,"-",IF(H8=13,"-",IF(H8="*","О",""))))))))))))))</f>
        <v/>
      </c>
      <c r="U8" s="31"/>
      <c r="V8" s="47">
        <f>BI7</f>
        <v>0</v>
      </c>
      <c r="W8" s="37">
        <f>CB7</f>
        <v>0</v>
      </c>
      <c r="X8" s="47">
        <f>BE8</f>
        <v>0</v>
      </c>
      <c r="Y8" s="47">
        <f>BA8</f>
        <v>0</v>
      </c>
      <c r="Z8" s="47">
        <f>BE7</f>
        <v>0</v>
      </c>
      <c r="AA8" s="23">
        <f>CV7</f>
        <v>0</v>
      </c>
      <c r="AB8" s="23">
        <f>BU7</f>
        <v>0</v>
      </c>
      <c r="AC8" s="23">
        <f>BQ7</f>
        <v>0</v>
      </c>
      <c r="AD8" s="51">
        <f>BO7</f>
        <v>0</v>
      </c>
      <c r="AE8" s="23"/>
      <c r="AF8" s="23"/>
      <c r="AG8" s="23">
        <f>CF8</f>
        <v>0</v>
      </c>
      <c r="AH8" s="31">
        <f>CL8</f>
        <v>0</v>
      </c>
      <c r="AI8" s="23">
        <f>CO7</f>
        <v>0</v>
      </c>
      <c r="AJ8" s="31">
        <f>BT8</f>
        <v>0</v>
      </c>
      <c r="AK8" s="31">
        <f>CA8</f>
        <v>0</v>
      </c>
      <c r="AL8" s="31">
        <f>CU8</f>
        <v>0</v>
      </c>
      <c r="AM8" s="31">
        <f>BO8</f>
        <v>0</v>
      </c>
      <c r="AN8" s="31">
        <f>CC8</f>
        <v>0</v>
      </c>
      <c r="AY8" s="31">
        <f t="shared" ref="AY8:CF8" si="2">AY5</f>
        <v>0</v>
      </c>
      <c r="AZ8" s="31">
        <f t="shared" si="2"/>
        <v>0</v>
      </c>
      <c r="BA8" s="31">
        <f t="shared" si="2"/>
        <v>0</v>
      </c>
      <c r="BB8" s="47">
        <f t="shared" si="2"/>
        <v>0</v>
      </c>
      <c r="BC8" s="31">
        <f t="shared" si="2"/>
        <v>0</v>
      </c>
      <c r="BD8" s="31">
        <f t="shared" si="2"/>
        <v>0</v>
      </c>
      <c r="BE8" s="31">
        <f t="shared" si="2"/>
        <v>0</v>
      </c>
      <c r="BF8" s="31">
        <f t="shared" si="2"/>
        <v>0</v>
      </c>
      <c r="BG8" s="31">
        <f t="shared" si="2"/>
        <v>0</v>
      </c>
      <c r="BH8" s="31">
        <f t="shared" si="2"/>
        <v>0</v>
      </c>
      <c r="BI8" s="31">
        <f t="shared" si="2"/>
        <v>0</v>
      </c>
      <c r="BJ8" s="31">
        <f t="shared" si="2"/>
        <v>0</v>
      </c>
      <c r="BK8" s="31">
        <f t="shared" si="2"/>
        <v>0</v>
      </c>
      <c r="BL8" s="31">
        <f t="shared" si="2"/>
        <v>0</v>
      </c>
      <c r="BM8" s="31">
        <f t="shared" si="2"/>
        <v>0</v>
      </c>
      <c r="BN8" s="31">
        <f t="shared" si="2"/>
        <v>0</v>
      </c>
      <c r="BO8" s="31">
        <f t="shared" si="2"/>
        <v>0</v>
      </c>
      <c r="BP8" s="31">
        <f t="shared" si="2"/>
        <v>0</v>
      </c>
      <c r="BQ8" s="31">
        <f t="shared" si="2"/>
        <v>0</v>
      </c>
      <c r="BR8" s="31">
        <f t="shared" si="2"/>
        <v>0</v>
      </c>
      <c r="BS8" s="31">
        <f t="shared" si="2"/>
        <v>0</v>
      </c>
      <c r="BT8" s="31">
        <f t="shared" si="2"/>
        <v>0</v>
      </c>
      <c r="BU8" s="31">
        <f t="shared" si="2"/>
        <v>0</v>
      </c>
      <c r="BV8" s="31"/>
      <c r="BW8" s="31">
        <f t="shared" si="2"/>
        <v>0</v>
      </c>
      <c r="BX8" s="31">
        <f t="shared" si="2"/>
        <v>0</v>
      </c>
      <c r="BY8" s="31">
        <f t="shared" si="2"/>
        <v>0</v>
      </c>
      <c r="BZ8" s="31">
        <f t="shared" si="2"/>
        <v>0</v>
      </c>
      <c r="CA8" s="31">
        <f t="shared" si="2"/>
        <v>0</v>
      </c>
      <c r="CB8" s="31">
        <f t="shared" si="2"/>
        <v>0</v>
      </c>
      <c r="CC8" s="31">
        <f t="shared" si="2"/>
        <v>0</v>
      </c>
      <c r="CD8" s="31">
        <f t="shared" si="2"/>
        <v>0</v>
      </c>
      <c r="CE8" s="31">
        <f t="shared" si="2"/>
        <v>0</v>
      </c>
      <c r="CF8" s="53">
        <f t="shared" si="2"/>
        <v>0</v>
      </c>
      <c r="CG8" s="53">
        <f>CG5</f>
        <v>0</v>
      </c>
      <c r="CH8" s="53">
        <f>CH5</f>
        <v>0</v>
      </c>
      <c r="CI8" s="53">
        <f>CI5</f>
        <v>0</v>
      </c>
      <c r="CJ8" s="53">
        <f>CJ5</f>
        <v>0</v>
      </c>
      <c r="CK8" s="31">
        <f>CK5*2</f>
        <v>0</v>
      </c>
      <c r="CL8" s="31">
        <f>CL5</f>
        <v>0</v>
      </c>
      <c r="CM8" s="31">
        <f>CM5</f>
        <v>0</v>
      </c>
      <c r="CN8" s="31">
        <f>CN5</f>
        <v>0</v>
      </c>
      <c r="CO8" s="31"/>
      <c r="CP8" s="31">
        <f>CP5</f>
        <v>0</v>
      </c>
      <c r="CQ8" s="31">
        <f>CQ5</f>
        <v>0</v>
      </c>
      <c r="CR8" s="31">
        <f>CR5*2</f>
        <v>0</v>
      </c>
      <c r="CS8" s="31">
        <f>CS5</f>
        <v>0</v>
      </c>
      <c r="CT8" s="31">
        <f>CT5</f>
        <v>0</v>
      </c>
      <c r="CU8" s="31">
        <f>CU5</f>
        <v>0</v>
      </c>
      <c r="CV8" s="31">
        <f>CV5</f>
        <v>0</v>
      </c>
      <c r="CW8" s="31">
        <f>CW5*2</f>
        <v>0</v>
      </c>
      <c r="CX8" s="31">
        <f>CX5</f>
        <v>0</v>
      </c>
      <c r="CY8" s="31">
        <f>CY5</f>
        <v>0</v>
      </c>
      <c r="CZ8" s="54">
        <f>CZ5</f>
        <v>0</v>
      </c>
      <c r="DA8" s="31">
        <f>DA5</f>
        <v>0</v>
      </c>
      <c r="DB8" s="31">
        <f>DB5</f>
        <v>0</v>
      </c>
      <c r="DC8" s="31">
        <f>DC5*2</f>
        <v>0</v>
      </c>
      <c r="DD8" s="31">
        <f>DD5*3</f>
        <v>0</v>
      </c>
      <c r="DE8" s="31">
        <f>DE5*2</f>
        <v>0</v>
      </c>
      <c r="DF8" s="31">
        <f>DF5</f>
        <v>0</v>
      </c>
      <c r="DG8" s="31">
        <f>DG7</f>
        <v>0</v>
      </c>
      <c r="DH8" s="31">
        <f>DH5</f>
        <v>0</v>
      </c>
      <c r="DI8" s="31"/>
      <c r="DJ8" s="31">
        <f>DJ5</f>
        <v>0</v>
      </c>
      <c r="DK8" s="31"/>
      <c r="DL8" s="31"/>
      <c r="DM8" s="31"/>
      <c r="DN8" s="31"/>
      <c r="DO8" s="31"/>
      <c r="DP8" s="31"/>
      <c r="DQ8" s="31">
        <f>DQ5</f>
        <v>0</v>
      </c>
      <c r="DR8" s="31">
        <f>DR5</f>
        <v>0</v>
      </c>
    </row>
    <row r="9" spans="1:122" ht="20.100000000000001" customHeight="1" thickBot="1" x14ac:dyDescent="0.3">
      <c r="A9" s="22">
        <v>5</v>
      </c>
      <c r="B9" s="119" t="s">
        <v>453</v>
      </c>
      <c r="C9" s="114"/>
      <c r="D9" s="115"/>
      <c r="E9" s="114"/>
      <c r="F9" s="114"/>
      <c r="G9" s="114"/>
      <c r="H9" s="116"/>
      <c r="I9" s="592"/>
      <c r="J9" s="8"/>
      <c r="K9" s="8"/>
      <c r="L9" s="212">
        <v>5</v>
      </c>
      <c r="M9" s="202" t="str">
        <f>IF(C9=1,"Ш",IF(C9=2,"Т",IF(C9=3,"А",IF(C9=4,"-",IF(C9=5,"ЛЛП",IF(C9=6,"СТ",IF(C9=7,"М",IF(C9=8,"-",IF(C9=9,"-",IF(C9=10,"-",IF(C9=11,"Н",IF(C9=12,"-",IF(C9=13,"-",IF(C9=14,"-",IF(C9=15,"М",IF(C9=16,"-",IF(C9=17,"Ц",IF(C9=18,"-",IF(C9=19,"-",IF(C9="*","О",""))))))))))))))))))))</f>
        <v/>
      </c>
      <c r="N9" s="30" t="str">
        <f>IF(D9=1,"Ш",IF(D9=2,"Т",IF(D9=3,"А",IF(D9=4,"-",IF(D9=5,"ЛЛП",IF(D9=6,"СТ",IF(D9=7,"М",IF(D9=8,"-",IF(D9=9,"-",IF(D9=10,"-",IF(D9=11,"Н",IF(D9=12,"-",IF(D9=13,"-",IF(D9=14,"-",IF(D9=15,"М",IF(D9=16,"-",IF(D9=17,"Ц",IF(D9=18,"-",IF(D9=19,"-",IF(D9="*","О",""))))))))))))))))))))</f>
        <v/>
      </c>
      <c r="O9" s="203" t="str">
        <f>IF(E9=1,"Ш",IF(E9=2,"Т",IF(E9=3,"А",IF(E9=4,"-",IF(E9=5,"ЛЛП",IF(E9=6,"СТ",IF(E9=7,"М",IF(E9=8,"-",IF(E9=9,"-",IF(E9=10,"-",IF(E9=11,"Н",IF(E9=12,"-",IF(E9=13,"-",IF(E9=14,"-",IF(E9=15,"М",IF(E9=16,"-",IF(E9=17,"Ц",IF(E9=18,"-",IF(E9=19,"-",IF(E9="*","О",""))))))))))))))))))))</f>
        <v/>
      </c>
      <c r="P9" s="202" t="str">
        <f>IF(F9=1,"-",IF(F9=2,"-",IF(F9=3,"ЦЭМ",IF(F9=4,"-",IF(F9=5,"-",IF(F9=6,"-",IF(F9=7,"-",IF(F9=8,"-",IF(F9=9,"-",IF(F9=10,"-",IF(F9=11,"-",IF(F9=12,"-",IF(F9=13,"-",IF(F9=14,"-",IF(F9=15,"-",IF(F9=16,"И",IF(F9=17,"-",IF(F9=18,"-",IF(F9=19,"-",IF(F9="*","О",""))))))))))))))))))))</f>
        <v/>
      </c>
      <c r="Q9" s="30" t="str">
        <f>IF(G9=1,"-",IF(G9=2,"-",IF(G9=3,"ЦЭМ",IF(G9=4,"-",IF(G9=5,"-",IF(G9=6,"-",IF(G9=7,"-",IF(G9=8,"-",IF(G9=9,"-",IF(G9=10,"-",IF(G9=11,"-",IF(G9=12,"-",IF(G9=13,"-",IF(G9=14,"-",IF(G9=15,"-",IF(G9=16,"И",IF(G9=17,"-",IF(G9=18,"-",IF(G9=19,"-",IF(G9="*","О",""))))))))))))))))))))</f>
        <v/>
      </c>
      <c r="R9" s="203" t="str">
        <f>IF(H9=1,"-",IF(H9=2,"-",IF(H9=3,"ЦЭМ",IF(H9=4,"-",IF(H9=5,"-",IF(H9=6,"-",IF(H9=7,"-",IF(H9=8,"-",IF(H9=9,"-",IF(H9=10,"-",IF(H9=11,"-",IF(H9=12,"-",IF(H9=13,"-",IF(H9=14,"-",IF(H9=15,"-",IF(H9=16,"И",IF(H9=17,"-",IF(H9=18,"-",IF(H9=19,"-",IF(H9="*","О",""))))))))))))))))))))</f>
        <v/>
      </c>
      <c r="T9" s="20"/>
      <c r="U9" s="31"/>
      <c r="V9" s="47">
        <f>BP7</f>
        <v>0</v>
      </c>
      <c r="W9" s="37">
        <f>CN7</f>
        <v>0</v>
      </c>
      <c r="X9" s="47">
        <f>BF7</f>
        <v>0</v>
      </c>
      <c r="Y9" s="34">
        <f>BC7</f>
        <v>0</v>
      </c>
      <c r="Z9" s="34">
        <f>BH8</f>
        <v>0</v>
      </c>
      <c r="AA9" s="31">
        <f>CX8</f>
        <v>0</v>
      </c>
      <c r="AB9" s="51">
        <f>BW7</f>
        <v>0</v>
      </c>
      <c r="AC9" s="51">
        <f>BR8</f>
        <v>0</v>
      </c>
      <c r="AD9" s="51">
        <f>BS7</f>
        <v>0</v>
      </c>
      <c r="AE9" s="51">
        <f>BY8</f>
        <v>0</v>
      </c>
      <c r="AF9" s="51"/>
      <c r="AG9" s="31"/>
      <c r="AH9" s="51">
        <f>CP9</f>
        <v>0</v>
      </c>
      <c r="AI9" s="51"/>
      <c r="AJ9" s="51">
        <f>CQ8</f>
        <v>0</v>
      </c>
      <c r="AK9" s="31">
        <f>CR7</f>
        <v>0</v>
      </c>
      <c r="AL9" s="51">
        <f>DC8</f>
        <v>0</v>
      </c>
      <c r="AM9" s="31">
        <f>BZ8</f>
        <v>0</v>
      </c>
      <c r="AN9" s="31">
        <f>CR8</f>
        <v>0</v>
      </c>
      <c r="AO9" s="4"/>
      <c r="AP9" s="4"/>
      <c r="AQ9" s="4"/>
      <c r="AR9" s="4"/>
      <c r="AS9" s="4"/>
      <c r="AT9" s="4"/>
      <c r="AU9" s="4"/>
      <c r="AV9" s="4"/>
      <c r="AW9" s="4"/>
      <c r="AX9" s="4"/>
      <c r="AY9" s="4"/>
      <c r="AZ9" s="4"/>
      <c r="BA9" s="4"/>
      <c r="BB9" s="33"/>
      <c r="BC9" s="4"/>
      <c r="BD9" s="4"/>
      <c r="BE9" s="4"/>
      <c r="BF9" s="20"/>
      <c r="BG9" s="20"/>
      <c r="BH9" s="20"/>
      <c r="CF9" s="8"/>
      <c r="CG9" s="47">
        <f>CG5</f>
        <v>0</v>
      </c>
      <c r="CH9" s="8"/>
      <c r="CI9" s="8"/>
      <c r="CJ9" s="31">
        <f>CJ5</f>
        <v>0</v>
      </c>
      <c r="CK9" s="31"/>
      <c r="CL9" s="31"/>
      <c r="CM9" s="31"/>
      <c r="CN9" s="31">
        <f>CN5</f>
        <v>0</v>
      </c>
      <c r="CO9" s="31"/>
      <c r="CP9" s="31">
        <f>CP5</f>
        <v>0</v>
      </c>
      <c r="CQ9" s="31"/>
      <c r="CR9" s="31"/>
      <c r="CS9" s="31">
        <f>CS5</f>
        <v>0</v>
      </c>
      <c r="CT9" s="31">
        <f>CT5</f>
        <v>0</v>
      </c>
      <c r="CU9" s="31"/>
      <c r="CV9" s="31"/>
      <c r="CW9" s="31"/>
      <c r="CX9" s="31">
        <f>CX5</f>
        <v>0</v>
      </c>
      <c r="CY9" s="31"/>
      <c r="CZ9" s="54"/>
      <c r="DA9" s="31">
        <f>DA5*2</f>
        <v>0</v>
      </c>
      <c r="DB9" s="31">
        <f>DB5</f>
        <v>0</v>
      </c>
      <c r="DC9" s="31"/>
      <c r="DD9" s="31"/>
      <c r="DE9" s="31">
        <f>DE5</f>
        <v>0</v>
      </c>
      <c r="DF9" s="31">
        <f>DF5*3</f>
        <v>0</v>
      </c>
      <c r="DG9" s="31">
        <f>DG5*2</f>
        <v>0</v>
      </c>
      <c r="DH9" s="31">
        <f>DH5</f>
        <v>0</v>
      </c>
      <c r="DI9" s="31"/>
      <c r="DJ9" s="31"/>
      <c r="DK9" s="31"/>
      <c r="DL9" s="31"/>
      <c r="DM9" s="31"/>
      <c r="DN9" s="31"/>
      <c r="DO9" s="31"/>
      <c r="DP9" s="31"/>
      <c r="DQ9" s="31"/>
      <c r="DR9" s="31">
        <f>DR5</f>
        <v>0</v>
      </c>
    </row>
    <row r="10" spans="1:122" ht="20.100000000000001" customHeight="1" thickBot="1" x14ac:dyDescent="0.3">
      <c r="A10" s="22">
        <v>6</v>
      </c>
      <c r="B10" s="119" t="s">
        <v>454</v>
      </c>
      <c r="C10" s="308"/>
      <c r="D10" s="309"/>
      <c r="E10" s="308"/>
      <c r="F10" s="308"/>
      <c r="G10" s="308"/>
      <c r="H10" s="310"/>
      <c r="I10" s="592"/>
      <c r="J10" s="8"/>
      <c r="K10" s="8"/>
      <c r="L10" s="211">
        <v>6</v>
      </c>
      <c r="M10" s="202" t="str">
        <f>IF(C10=1,"(+2)",IF(C10=2,"-",IF(C10=3,"М(+1)",IF(C10=4,"ГГ(+2)",IF(C10=5,"(-1)",IF(C10=6,"(-1)",IF(C10=7,"С(-3)",IF(C10=8,"(+1)",IF(C10=9,"П",IF(C10=10,"СШП(-3)",IF(C10=11,"-",IF(C10=12,"Цd",IF(C10=13,"А",IF(C10="*","О",""))))))))))))))</f>
        <v/>
      </c>
      <c r="N10" s="30" t="str">
        <f>IF(D10=1,"(+2)",IF(D10=2,"-",IF(D10=3,"М(+1)",IF(D10=4,"ГГ(+2)",IF(D10=5,"(-1)",IF(D10=6,"(-1)",IF(D10=7,"С(-3)",IF(D10=8,"(+1)",IF(D10=9,"П",IF(D10=10,"СШП(-3)",IF(D10=11,"-",IF(D10=12,"Цd",IF(D10=13,"А",IF(D10="*","О",""))))))))))))))</f>
        <v/>
      </c>
      <c r="O10" s="203" t="str">
        <f>IF(E10=1,"(+2)",IF(E10=2,"-",IF(E10=3,"М(+1)",IF(E10=4,"ГГ(+2)",IF(E10=5,"(-1)",IF(E10=6,"(-1)",IF(E10=7,"С(-3)",IF(E10=8,"(+1)",IF(E10=9,"П",IF(E10=10,"СШП(-3)",IF(E10=11,"-",IF(E10=12,"Цd",IF(E10=13,"А",IF(E10="*","О",""))))))))))))))</f>
        <v/>
      </c>
      <c r="P10" s="202" t="str">
        <f>IF(F10=1,"Ц",IF(F10=2,"-",IF(F10=3,"-",IF(F10=4,"С-1",IF(F10=5,"(+2)",IF(F10=6,"(+1)",IF(F10=7,"ЦЛ+2",IF(F10=8,"Ф",IF(F10=9,"-",IF(F10=10,"(+1)",IF(F10=11,"И",IF(F10=12,"-",IF(F10=13,"Л",IF(F10="*","ОЭ",""))))))))))))))</f>
        <v/>
      </c>
      <c r="Q10" s="30" t="str">
        <f>IF(G10=1,"Ц",IF(G10=2,"-",IF(G10=3,"-",IF(G10=4,"С-1",IF(G10=5,"(+2)",IF(G10=6,"(+1)",IF(G10=7,"ЦЛ+2",IF(G10=8,"Ф",IF(G10=9,"-",IF(G10=10,"(+1)",IF(G10=11,"И",IF(G10=12,"-",IF(G10=13,"Л",IF(G10="*","ОЭ",""))))))))))))))</f>
        <v/>
      </c>
      <c r="R10" s="203" t="str">
        <f>IF(H10=1,"Ц",IF(H10=2,"-",IF(H10=3,"-",IF(H10=4,"С-1",IF(H10=5,"(+2)",IF(H10=6,"(+1)",IF(H10=7,"ЦЛ+2",IF(H10=8,"Ф",IF(H10=9,"-",IF(H10=10,"(+1)",IF(H10=11,"И",IF(H10=12,"-",IF(H10=13,"Л",IF(H10="*","ОЭ",""))))))))))))))</f>
        <v/>
      </c>
      <c r="T10" s="20"/>
      <c r="U10" s="52"/>
      <c r="V10" s="37">
        <f>CK7</f>
        <v>0</v>
      </c>
      <c r="W10" s="37">
        <f>CX7</f>
        <v>0</v>
      </c>
      <c r="X10" s="47">
        <f>BH7</f>
        <v>0</v>
      </c>
      <c r="Y10" s="34">
        <f>BL7</f>
        <v>0</v>
      </c>
      <c r="Z10" s="34">
        <f>BL8</f>
        <v>0</v>
      </c>
      <c r="AA10" s="51">
        <f>DB9</f>
        <v>0</v>
      </c>
      <c r="AB10" s="51">
        <f>BX7</f>
        <v>0</v>
      </c>
      <c r="AC10" s="31">
        <f>CD7</f>
        <v>0</v>
      </c>
      <c r="AD10" s="51">
        <f>CD8</f>
        <v>0</v>
      </c>
      <c r="AE10" s="51">
        <f>CL7</f>
        <v>0</v>
      </c>
      <c r="AF10" s="51"/>
      <c r="AG10" s="51"/>
      <c r="AH10" s="51">
        <f>CJ9</f>
        <v>0</v>
      </c>
      <c r="AI10" s="31"/>
      <c r="AJ10" s="23">
        <f>CT9</f>
        <v>0</v>
      </c>
      <c r="AK10" s="31">
        <f>CY8</f>
        <v>0</v>
      </c>
      <c r="AL10" s="23">
        <f>DQ8</f>
        <v>0</v>
      </c>
      <c r="AM10" s="23">
        <f>CK8</f>
        <v>0</v>
      </c>
      <c r="AN10" s="23">
        <f>DD8</f>
        <v>0</v>
      </c>
      <c r="AO10" s="11"/>
      <c r="AP10" s="11"/>
      <c r="AQ10" s="11"/>
      <c r="AR10" s="11"/>
      <c r="AS10" s="11"/>
      <c r="AT10" s="11"/>
      <c r="AU10" s="11"/>
      <c r="AV10" s="11"/>
      <c r="AW10" s="11"/>
      <c r="AX10" s="11"/>
      <c r="AY10" s="11"/>
      <c r="AZ10" s="11"/>
      <c r="BA10" s="11"/>
      <c r="BB10" s="32"/>
      <c r="BC10" s="11"/>
      <c r="BD10" s="11"/>
      <c r="BE10" s="11"/>
      <c r="BF10" s="20"/>
      <c r="BG10" s="20"/>
      <c r="BH10" s="20"/>
      <c r="CZ10" s="8"/>
      <c r="DA10" s="31"/>
      <c r="DB10" s="31">
        <f>DB5</f>
        <v>0</v>
      </c>
      <c r="DC10" s="31"/>
      <c r="DD10" s="31"/>
      <c r="DE10" s="31"/>
      <c r="DF10" s="31"/>
      <c r="DG10" s="31"/>
      <c r="DH10" s="31"/>
      <c r="DI10" s="31"/>
      <c r="DJ10" s="31"/>
      <c r="DK10" s="31"/>
      <c r="DL10" s="31"/>
      <c r="DM10" s="31"/>
      <c r="DN10" s="31"/>
      <c r="DO10" s="31"/>
      <c r="DP10" s="31"/>
      <c r="DQ10" s="5"/>
      <c r="DR10" s="31">
        <f>DR5*2</f>
        <v>0</v>
      </c>
    </row>
    <row r="11" spans="1:122" ht="20.100000000000001" customHeight="1" thickBot="1" x14ac:dyDescent="0.3">
      <c r="A11" s="22">
        <v>7</v>
      </c>
      <c r="B11" s="119" t="s">
        <v>455</v>
      </c>
      <c r="C11" s="114"/>
      <c r="D11" s="115"/>
      <c r="E11" s="114"/>
      <c r="F11" s="114"/>
      <c r="G11" s="114"/>
      <c r="H11" s="116"/>
      <c r="I11" s="592"/>
      <c r="J11" s="8"/>
      <c r="K11" s="8"/>
      <c r="L11" s="212">
        <v>7</v>
      </c>
      <c r="M11" s="202" t="str">
        <f>IF(C11=1,"ННД",IF(C11=2,"-",IF(C11=3,"-",IF(C11=4,"-",IF(C11=5,"-",IF(C11=6,"-",IF(C11=7,"-",IF(C11=8,"-",IF(C11=9,"-",IF(C11=10,"М",IF(C11=11,"-",IF(C11=12,"-",IF(C11=13,"-",IF(C11=14,"ЛИ",IF(C11="*","О","")))))))))))))))</f>
        <v/>
      </c>
      <c r="N11" s="30" t="str">
        <f>IF(D11=1,"ННД",IF(D11=2,"-",IF(D11=3,"-",IF(D11=4,"-",IF(D11=5,"-",IF(D11=6,"-",IF(D11=7,"-",IF(D11=8,"-",IF(D11=9,"-",IF(D11=10,"М",IF(D11=11,"-",IF(D11=12,"-",IF(D11=13,"-",IF(D11=14,"ЛИ",IF(D11="*","О","")))))))))))))))</f>
        <v/>
      </c>
      <c r="O11" s="203" t="str">
        <f>IF(E11=1,"ННД",IF(E11=2,"-",IF(E11=3,"-",IF(E11=4,"-",IF(E11=5,"-",IF(E11=6,"-",IF(E11=7,"-",IF(E11=8,"-",IF(E11=9,"-",IF(E11=10,"М",IF(E11=11,"-",IF(E11=12,"-",IF(E11=13,"-",IF(E11=14,"ЛИ",IF(E11="*","О","")))))))))))))))</f>
        <v/>
      </c>
      <c r="P11" s="202" t="str">
        <f>IF(F11=1,"М",IF(F11=2,"Ц",IF(F11=3,"-",IF(F11=4,"-",IF(F11=5,"НН",IF(F11=6,"-",IF(F11=7,"КВ",IF(F11=8,"ИИ",IF(F11=9,"-",IF(F11=10,"-",IF(F11=11,"ЛС",IF(F11=12,"-",IF(F11=13,"ГЛ",IF(F11=14,"-",IF(F11="*","О","")))))))))))))))</f>
        <v/>
      </c>
      <c r="Q11" s="30" t="str">
        <f>IF(G11=1,"М",IF(G11=2,"Ц",IF(G11=3,"-",IF(G11=4,"-",IF(G11=5,"НН",IF(G11=6,"-",IF(G11=7,"КВ",IF(G11=8,"ИИ",IF(G11=9,"-",IF(G11=10,"-",IF(G11=11,"ЛС",IF(G11=12,"-",IF(G11=13,"ГЛ",IF(G11=14,"-",IF(G11="*","О","")))))))))))))))</f>
        <v/>
      </c>
      <c r="R11" s="203" t="str">
        <f>IF(H11=1,"М",IF(H11=2,"Ц",IF(H11=3,"-",IF(H11=4,"-",IF(H11=5,"НН",IF(H11=6,"-",IF(H11=7,"КВ",IF(H11=8,"ИИ",IF(H11=9,"-",IF(H11=10,"-",IF(H11=11,"ЛС",IF(H11=12,"-",IF(H11=13,"ГЛ",IF(H11=14,"-",IF(H11="*","О","")))))))))))))))</f>
        <v/>
      </c>
      <c r="U11" s="51"/>
      <c r="V11" s="37">
        <f>CS7</f>
        <v>0</v>
      </c>
      <c r="W11" s="37">
        <f>DJ7</f>
        <v>0</v>
      </c>
      <c r="X11" s="47">
        <f>BI8</f>
        <v>0</v>
      </c>
      <c r="Y11" s="37">
        <f>BN7</f>
        <v>0</v>
      </c>
      <c r="Z11" s="47">
        <f>BZ7</f>
        <v>0</v>
      </c>
      <c r="AA11" s="51">
        <f>DE7</f>
        <v>0</v>
      </c>
      <c r="AB11" s="31">
        <f>CE7</f>
        <v>0</v>
      </c>
      <c r="AC11" s="31">
        <f>CN8</f>
        <v>0</v>
      </c>
      <c r="AD11" s="51">
        <f>CE8</f>
        <v>0</v>
      </c>
      <c r="AE11" s="31">
        <f>CP8</f>
        <v>0</v>
      </c>
      <c r="AF11" s="51"/>
      <c r="AG11" s="31"/>
      <c r="AH11" s="23"/>
      <c r="AI11" s="23"/>
      <c r="AJ11" s="23">
        <f>CV8</f>
        <v>0</v>
      </c>
      <c r="AK11" s="23">
        <f>DD7</f>
        <v>0</v>
      </c>
      <c r="AL11" s="23">
        <f>BV7</f>
        <v>0</v>
      </c>
      <c r="AM11" s="23">
        <f>CN9</f>
        <v>0</v>
      </c>
      <c r="AN11" s="23">
        <f>DG9</f>
        <v>0</v>
      </c>
      <c r="AO11" s="11"/>
      <c r="AP11" s="11"/>
      <c r="AQ11" s="11"/>
      <c r="AR11" s="11"/>
      <c r="AS11" s="11"/>
      <c r="AT11" s="11"/>
      <c r="AU11" s="11"/>
      <c r="AV11" s="11"/>
      <c r="AW11" s="11"/>
      <c r="AX11" s="11"/>
      <c r="AY11" s="11"/>
      <c r="AZ11" s="11"/>
      <c r="BA11" s="11"/>
      <c r="BB11" s="32"/>
      <c r="BC11" s="11"/>
      <c r="BD11" s="11"/>
      <c r="BE11" s="11"/>
      <c r="CZ11" s="8"/>
      <c r="DA11" s="31"/>
      <c r="DB11" s="31"/>
      <c r="DC11" s="31"/>
      <c r="DD11" s="31"/>
      <c r="DE11" s="31"/>
      <c r="DF11" s="31"/>
      <c r="DG11" s="31"/>
      <c r="DH11" s="31"/>
      <c r="DI11" s="31"/>
      <c r="DJ11" s="31"/>
      <c r="DK11" s="31"/>
      <c r="DL11" s="31"/>
      <c r="DM11" s="31"/>
      <c r="DN11" s="31"/>
      <c r="DO11" s="31"/>
      <c r="DP11" s="31"/>
      <c r="DQ11" s="5"/>
    </row>
    <row r="12" spans="1:122" ht="20.100000000000001" customHeight="1" thickBot="1" x14ac:dyDescent="0.3">
      <c r="A12" s="22">
        <v>8</v>
      </c>
      <c r="B12" s="119" t="s">
        <v>456</v>
      </c>
      <c r="C12" s="308"/>
      <c r="D12" s="309"/>
      <c r="E12" s="308"/>
      <c r="F12" s="308"/>
      <c r="G12" s="308"/>
      <c r="H12" s="310"/>
      <c r="I12" s="592"/>
      <c r="J12" s="8"/>
      <c r="K12" s="8"/>
      <c r="L12" s="211">
        <v>8</v>
      </c>
      <c r="M12" s="202" t="str">
        <f>IF(C12=1,"-",IF(C12=2,"-",IF(C12=3,"-",IF(C12=4,"ИИ",IF(C12=5,"АС",IF(C12=6,"КФ",IF(C12=7,"-",IF(C12=8,"-",IF(C12=9,"-",IF(C12=10,"-",IF(C12=11,"-",IF(C12=12,"-",IF(C12="*","О","")))))))))))))</f>
        <v/>
      </c>
      <c r="N12" s="30" t="str">
        <f>IF(D12=1,"-",IF(D12=2,"-",IF(D12=3,"-",IF(D12=4,"ИИ",IF(D12=5,"АС",IF(D12=6,"КФ",IF(D12=7,"-",IF(D12=8,"-",IF(D12=9,"-",IF(D12=10,"-",IF(D12=11,"-",IF(D12=12,"-",IF(D12="*","О","")))))))))))))</f>
        <v/>
      </c>
      <c r="O12" s="203" t="str">
        <f>IF(E12=1,"-",IF(E12=2,"-",IF(E12=3,"-",IF(E12=4,"ИИ",IF(E12=5,"АС",IF(E12=6,"КФ",IF(E12=7,"-",IF(E12=8,"-",IF(E12=9,"-",IF(E12=10,"-",IF(E12=11,"-",IF(E12=12,"-",IF(E12="*","О","")))))))))))))</f>
        <v/>
      </c>
      <c r="P12" s="202" t="str">
        <f>IF(F12=1,"АВ",IF(F12=2,"-",IF(F12=3,"-",IF(F12=4,"К",IF(F12=5,"-",IF(F12=6,"-",IF(F12=7,"-",IF(F12=8,"-",IF(F12=9,"-",IF(F12=10,"-",IF(F12=11,"-",IF(F12=12,"-",IF(F12="*","О","")))))))))))))</f>
        <v/>
      </c>
      <c r="Q12" s="30" t="str">
        <f>IF(G12=1,"АВ",IF(G12=2,"-",IF(G12=3,"-",IF(G12=4,"К",IF(G12=5,"-",IF(G12=6,"-",IF(G12=7,"-",IF(G12=8,"-",IF(G12=9,"-",IF(G12=10,"-",IF(G12=11,"-",IF(G12=12,"-",IF(G12="*","О","")))))))))))))</f>
        <v/>
      </c>
      <c r="R12" s="203" t="str">
        <f>IF(H12=1,"АВ",IF(H12=2,"-",IF(H12=3,"-",IF(H12=4,"К",IF(H12=5,"-",IF(H12=6,"-",IF(H12=7,"-",IF(H12=8,"-",IF(H12=9,"-",IF(H12=10,"-",IF(H12=11,"-",IF(H12=12,"-",IF(H12="*","О","")))))))))))))</f>
        <v/>
      </c>
      <c r="S12" s="13"/>
      <c r="T12" s="13"/>
      <c r="U12" s="31"/>
      <c r="V12" s="47">
        <f>CY7</f>
        <v>0</v>
      </c>
      <c r="W12" s="37">
        <f>DQ7</f>
        <v>0</v>
      </c>
      <c r="X12" s="47">
        <f>BR7</f>
        <v>0</v>
      </c>
      <c r="Y12" s="34">
        <f>CF7</f>
        <v>0</v>
      </c>
      <c r="Z12" s="34">
        <f>CW7</f>
        <v>0</v>
      </c>
      <c r="AA12" s="51">
        <f>DF8</f>
        <v>0</v>
      </c>
      <c r="AB12" s="51">
        <f>CW8</f>
        <v>0</v>
      </c>
      <c r="AC12" s="51">
        <f>CP7</f>
        <v>0</v>
      </c>
      <c r="AD12" s="51">
        <f>CT8</f>
        <v>0</v>
      </c>
      <c r="AE12" s="51">
        <f>CS9</f>
        <v>0</v>
      </c>
      <c r="AF12" s="31"/>
      <c r="AG12" s="31"/>
      <c r="AH12" s="23"/>
      <c r="AI12" s="23"/>
      <c r="AJ12" s="50"/>
      <c r="AK12" s="50">
        <f>DG8</f>
        <v>0</v>
      </c>
      <c r="AL12" s="50">
        <f>CG9</f>
        <v>0</v>
      </c>
      <c r="AM12" s="50">
        <f>CX9</f>
        <v>0</v>
      </c>
      <c r="AN12" s="50"/>
      <c r="AO12" s="13"/>
      <c r="AP12" s="13"/>
      <c r="AQ12" s="13"/>
      <c r="AR12" s="13"/>
      <c r="AS12" s="13"/>
      <c r="AT12" s="13"/>
      <c r="AU12" s="13"/>
      <c r="AV12" s="13"/>
      <c r="AW12" s="13"/>
      <c r="AX12" s="13"/>
      <c r="AY12" s="13"/>
      <c r="AZ12" s="13"/>
      <c r="BA12" s="13"/>
      <c r="BB12" s="39"/>
      <c r="BC12" s="13"/>
      <c r="BD12" s="13"/>
      <c r="BE12" s="13"/>
      <c r="BF12" s="13"/>
      <c r="BG12" s="13"/>
      <c r="BH12" s="13"/>
      <c r="BI12" s="13"/>
      <c r="CZ12" s="8"/>
      <c r="DA12" s="31"/>
      <c r="DB12" s="31"/>
      <c r="DC12" s="31"/>
      <c r="DD12" s="31"/>
      <c r="DE12" s="31"/>
      <c r="DF12" s="31"/>
      <c r="DG12" s="31"/>
      <c r="DH12" s="31"/>
      <c r="DI12" s="31"/>
      <c r="DJ12" s="31"/>
      <c r="DK12" s="31"/>
      <c r="DL12" s="31"/>
      <c r="DM12" s="31"/>
      <c r="DN12" s="31"/>
      <c r="DO12" s="31"/>
      <c r="DP12" s="31"/>
      <c r="DQ12" s="5"/>
    </row>
    <row r="13" spans="1:122" ht="20.100000000000001" customHeight="1" thickBot="1" x14ac:dyDescent="0.3">
      <c r="A13" s="22">
        <v>9</v>
      </c>
      <c r="B13" s="119" t="s">
        <v>457</v>
      </c>
      <c r="C13" s="114"/>
      <c r="D13" s="115"/>
      <c r="E13" s="114"/>
      <c r="F13" s="114"/>
      <c r="G13" s="114"/>
      <c r="H13" s="116"/>
      <c r="I13" s="592"/>
      <c r="J13" s="8"/>
      <c r="K13" s="8"/>
      <c r="L13" s="212">
        <v>9</v>
      </c>
      <c r="M13" s="202" t="str">
        <f>IF(C13=1,"-",IF(C13=2,"Ц",IF(C13=3,"-",IF(C13=4,"ИМ",IF(C13=5,"-",IF(C13=6,"ЛА",IF(C13=7,"-",IF(C13=8,"-",IF(C13=9,"-",IF(C13=10,"-",IF(C13=11,"-",IF(C13=12,"-",IF(C13="*","О","")))))))))))))</f>
        <v/>
      </c>
      <c r="N13" s="30" t="str">
        <f>IF(D13=1,"-",IF(D13=2,"Ц",IF(D13=3,"-",IF(D13=4,"ИМ",IF(D13=5,"-",IF(D13=6,"ЛА",IF(D13=7,"-",IF(D13=8,"-",IF(D13=9,"-",IF(D13=10,"-",IF(D13=11,"-",IF(D13=12,"-",IF(D13="*","О","")))))))))))))</f>
        <v/>
      </c>
      <c r="O13" s="203" t="str">
        <f>IF(E13=1,"-",IF(E13=2,"Ц",IF(E13=3,"-",IF(E13=4,"ИМ",IF(E13=5,"-",IF(E13=6,"ЛА",IF(E13=7,"-",IF(E13=8,"-",IF(E13=9,"-",IF(E13=10,"-",IF(E13=11,"-",IF(E13=12,"-",IF(E13="*","О","")))))))))))))</f>
        <v/>
      </c>
      <c r="P13" s="202" t="str">
        <f>IF(F13=1,"М",IF(F13=2,"ЭИД",IF(F13=3,"-",IF(F13=4,"-",IF(F13=5,"-",IF(F13=6,"И",IF(F13=7,"-",IF(F13=8,"-",IF(F13=9,"-",IF(F13=10,"-",IF(F13=11,"-",IF(F13=12,"-",IF(F13="*","О","")))))))))))))</f>
        <v/>
      </c>
      <c r="Q13" s="30" t="str">
        <f>IF(G13=1,"М",IF(G13=2,"ЭИД",IF(G13=3,"-",IF(G13=4,"-",IF(G13=5,"-",IF(G13=6,"И",IF(G13=7,"-",IF(G13=8,"-",IF(G13=9,"-",IF(G13=10,"-",IF(G13=11,"-",IF(G13=12,"-",IF(G13="*","О","")))))))))))))</f>
        <v/>
      </c>
      <c r="R13" s="203" t="str">
        <f>IF(H13=1,"М",IF(H13=2,"ЭИД",IF(H13=3,"-",IF(H13=4,"-",IF(H13=5,"-",IF(H13=6,"И",IF(H13=7,"-",IF(H13=8,"-",IF(H13=9,"-",IF(H13=10,"-",IF(H13=11,"-",IF(H13=12,"-",IF(H13="*","О","")))))))))))))</f>
        <v/>
      </c>
      <c r="S13" s="14"/>
      <c r="T13" s="15"/>
      <c r="U13" s="51"/>
      <c r="V13" s="37">
        <f>DA7</f>
        <v>0</v>
      </c>
      <c r="W13" s="37"/>
      <c r="X13" s="47">
        <f>BU8</f>
        <v>0</v>
      </c>
      <c r="Y13" s="34"/>
      <c r="Z13" s="34">
        <f>DF7</f>
        <v>0</v>
      </c>
      <c r="AA13" s="31">
        <f>DH8</f>
        <v>0</v>
      </c>
      <c r="AB13" s="51">
        <f>DC7</f>
        <v>0</v>
      </c>
      <c r="AC13" s="51">
        <f>CS8</f>
        <v>0</v>
      </c>
      <c r="AD13" s="51">
        <f>DG7</f>
        <v>0</v>
      </c>
      <c r="AE13" s="51">
        <f>CZ8</f>
        <v>0</v>
      </c>
      <c r="AF13" s="51"/>
      <c r="AG13" s="51"/>
      <c r="AH13" s="51"/>
      <c r="AI13" s="49"/>
      <c r="AJ13" s="50"/>
      <c r="AK13" s="49">
        <f>CG8</f>
        <v>0</v>
      </c>
      <c r="AL13" s="49"/>
      <c r="AM13" s="49">
        <f>DA9</f>
        <v>0</v>
      </c>
      <c r="AN13" s="49"/>
      <c r="AO13" s="16"/>
      <c r="AP13" s="16"/>
      <c r="AQ13" s="16"/>
      <c r="AR13" s="16"/>
      <c r="AS13" s="16"/>
      <c r="AT13" s="16"/>
      <c r="AU13" s="16"/>
      <c r="AV13" s="16"/>
      <c r="AW13" s="16"/>
      <c r="AX13" s="16"/>
      <c r="AY13" s="16"/>
      <c r="AZ13" s="16"/>
      <c r="BA13" s="16"/>
      <c r="BB13" s="20"/>
      <c r="BC13" s="16"/>
      <c r="BD13" s="16"/>
      <c r="BE13" s="16"/>
      <c r="BF13" s="16"/>
      <c r="BG13" s="16"/>
      <c r="BH13" s="16"/>
      <c r="BI13" s="16"/>
      <c r="BV13" s="442" t="s">
        <v>266</v>
      </c>
      <c r="BW13" s="442"/>
      <c r="BX13" s="442"/>
      <c r="BY13" s="442"/>
      <c r="BZ13" s="442"/>
      <c r="CA13" s="442"/>
      <c r="CB13" s="442"/>
      <c r="CC13" s="442"/>
      <c r="CD13" s="442"/>
      <c r="CE13" s="442"/>
      <c r="CF13" s="442"/>
      <c r="CG13" s="442"/>
      <c r="CH13" s="442"/>
      <c r="CI13" s="442"/>
      <c r="CJ13" s="442"/>
      <c r="CK13" s="442"/>
      <c r="CL13" s="442"/>
      <c r="CM13" s="442"/>
      <c r="CN13" s="442"/>
      <c r="CO13" s="442"/>
      <c r="CP13" s="442"/>
      <c r="CQ13" s="442"/>
      <c r="CR13" s="101"/>
      <c r="CS13" s="101"/>
      <c r="CT13" s="101"/>
      <c r="CU13" s="101"/>
      <c r="DH13" s="412" t="s">
        <v>220</v>
      </c>
      <c r="DI13" s="412"/>
      <c r="DJ13" s="412"/>
      <c r="DK13" s="412"/>
      <c r="DL13" s="412"/>
      <c r="DM13" s="412"/>
      <c r="DN13" s="412"/>
      <c r="DO13" s="412"/>
      <c r="DP13" s="412"/>
    </row>
    <row r="14" spans="1:122" ht="20.100000000000001" customHeight="1" thickBot="1" x14ac:dyDescent="0.3">
      <c r="A14" s="22">
        <v>10</v>
      </c>
      <c r="B14" s="119" t="s">
        <v>458</v>
      </c>
      <c r="C14" s="308"/>
      <c r="D14" s="309"/>
      <c r="E14" s="308"/>
      <c r="F14" s="308"/>
      <c r="G14" s="308"/>
      <c r="H14" s="310"/>
      <c r="I14" s="592"/>
      <c r="J14" s="8"/>
      <c r="K14" s="8"/>
      <c r="L14" s="211">
        <v>10</v>
      </c>
      <c r="M14" s="202" t="str">
        <f>IF(C14=1,"П",IF(C14=2,"-",IF(C14=3,"ЛЛВ",IF(C14=4,"-",IF(C14=5,"Е",IF(C14=6,"-",IF(C14=7,"-",IF(C14=8,"ЕФФ",IF(C14=9,"ПП",IF(C14=10,"М",IF(C14=11,"Е",IF(C14=12,"ШЕ",IF(C14=13,"Эd",IF(C14="*","ОЕ",""))))))))))))))</f>
        <v/>
      </c>
      <c r="N14" s="30" t="str">
        <f>IF(D14=1,"П",IF(D14=2,"-",IF(D14=3,"ЛЛВ",IF(D14=4,"-",IF(D14=5,"Е",IF(D14=6,"-",IF(D14=7,"-",IF(D14=8,"ЕФФ",IF(D14=9,"ПП",IF(D14=10,"М",IF(D14=11,"Е",IF(D14=12,"ШЕ",IF(D14=13,"Эd",IF(D14="*","ОЕ",""))))))))))))))</f>
        <v/>
      </c>
      <c r="O14" s="203" t="str">
        <f>IF(E14=1,"П",IF(E14=2,"-",IF(E14=3,"ЛЛВ",IF(E14=4,"-",IF(E14=5,"Е",IF(E14=6,"-",IF(E14=7,"-",IF(E14=8,"ЕФФ",IF(E14=9,"ПП",IF(E14=10,"М",IF(E14=11,"Е",IF(E14=12,"ШЕ",IF(E14=13,"Эd",IF(E14="*","ОЕ",""))))))))))))))</f>
        <v/>
      </c>
      <c r="P14" s="202" t="str">
        <f>IF(F14=1,"-",IF(F14=2,"-",IF(F14=3,"-",IF(F14=4,"-",IF(F14=5,"К",IF(F14=6,"-",IF(F14=7,"-",IF(F14=8,"-",IF(F14=9,"-",IF(F14=10,"-",IF(F14=11,"ГЛПЭ",IF(F14=12,"-",IF(F14=13,"-",IF(F14="*","О",""))))))))))))))</f>
        <v/>
      </c>
      <c r="Q14" s="30" t="str">
        <f>IF(G14=1,"-",IF(G14=2,"-",IF(G14=3,"-",IF(G14=4,"-",IF(G14=5,"К",IF(G14=6,"-",IF(G14=7,"-",IF(G14=8,"-",IF(G14=9,"-",IF(G14=10,"-",IF(G14=11,"ГЛПЭ",IF(G14=12,"-",IF(G14=13,"-",IF(G14="*","О",""))))))))))))))</f>
        <v/>
      </c>
      <c r="R14" s="203" t="str">
        <f>IF(H14=1,"-",IF(H14=2,"-",IF(H14=3,"-",IF(H14=4,"-",IF(H14=5,"К",IF(H14=6,"-",IF(H14=7,"-",IF(H14=8,"-",IF(H14=9,"-",IF(H14=10,"-",IF(H14=11,"ГЛПЭ",IF(H14=12,"-",IF(H14=13,"-",IF(H14="*","О",""))))))))))))))</f>
        <v/>
      </c>
      <c r="U14" s="51"/>
      <c r="V14" s="47">
        <f>DB7</f>
        <v>0</v>
      </c>
      <c r="W14" s="47"/>
      <c r="X14" s="47"/>
      <c r="Y14" s="47"/>
      <c r="Z14" s="34">
        <f>DH7</f>
        <v>0</v>
      </c>
      <c r="AA14" s="51">
        <f>CI7</f>
        <v>0</v>
      </c>
      <c r="AB14" s="31">
        <f>DE8</f>
        <v>0</v>
      </c>
      <c r="AC14" s="51">
        <f>CT7</f>
        <v>0</v>
      </c>
      <c r="AD14" s="51">
        <f>CJ8</f>
        <v>0</v>
      </c>
      <c r="AE14" s="31">
        <f>DA8</f>
        <v>0</v>
      </c>
      <c r="AF14" s="31"/>
      <c r="AG14" s="51"/>
      <c r="AH14" s="51"/>
      <c r="AI14" s="51"/>
      <c r="AJ14" s="31"/>
      <c r="AK14" s="31">
        <f>CH8</f>
        <v>0</v>
      </c>
      <c r="AL14" s="31"/>
      <c r="AM14" s="31">
        <f>DK7</f>
        <v>0</v>
      </c>
      <c r="AN14" s="31"/>
      <c r="CB14" s="379" t="s">
        <v>261</v>
      </c>
      <c r="CC14" s="379"/>
      <c r="CD14" s="440" t="s">
        <v>262</v>
      </c>
      <c r="CE14" s="441"/>
      <c r="CF14" s="441"/>
      <c r="CG14" s="149"/>
      <c r="CH14" s="149"/>
      <c r="CI14" s="149"/>
      <c r="CJ14" s="149"/>
      <c r="CM14" s="438" t="s">
        <v>260</v>
      </c>
      <c r="CN14" s="438"/>
      <c r="CO14" s="438"/>
      <c r="CP14" s="438"/>
      <c r="CQ14" s="438"/>
      <c r="CR14" s="438"/>
      <c r="CT14" s="100"/>
      <c r="CU14" s="100"/>
      <c r="CV14" s="100"/>
      <c r="CW14" s="99">
        <f>CX21-CY21</f>
        <v>3</v>
      </c>
      <c r="CX14" s="430" t="s">
        <v>259</v>
      </c>
      <c r="CY14" s="430"/>
      <c r="CZ14" s="430"/>
      <c r="DH14" s="79" t="s">
        <v>219</v>
      </c>
      <c r="DI14" s="79" t="s">
        <v>95</v>
      </c>
      <c r="DJ14" s="79" t="s">
        <v>95</v>
      </c>
      <c r="DK14" s="79" t="s">
        <v>94</v>
      </c>
      <c r="DL14" s="79" t="s">
        <v>93</v>
      </c>
      <c r="DM14" s="79" t="s">
        <v>219</v>
      </c>
      <c r="DN14" s="79" t="s">
        <v>93</v>
      </c>
      <c r="DO14" s="79" t="s">
        <v>94</v>
      </c>
      <c r="DP14" s="79" t="s">
        <v>95</v>
      </c>
    </row>
    <row r="15" spans="1:122" ht="20.100000000000001" customHeight="1" thickBot="1" x14ac:dyDescent="0.3">
      <c r="A15" s="22">
        <v>11</v>
      </c>
      <c r="B15" s="119" t="s">
        <v>459</v>
      </c>
      <c r="C15" s="114"/>
      <c r="D15" s="115"/>
      <c r="E15" s="114"/>
      <c r="F15" s="114"/>
      <c r="G15" s="114"/>
      <c r="H15" s="116"/>
      <c r="I15" s="592"/>
      <c r="J15" s="8"/>
      <c r="K15" s="8"/>
      <c r="L15" s="212">
        <v>11</v>
      </c>
      <c r="M15" s="202" t="str">
        <f>IF(C15=1,"Д",IF(C15=2,"-",IF(C15=3,"ГЦ",IF(C15=4,"К",IF(C15=5,"-",IF(C15=6,"-",IF(C15=7,"СС",IF(C15=8,"-",IF(C15=9,"-",IF(C15=10,"-",IF(C15=11,"-",IF(C15=12,"-",IF(C15=13,"-",IF(C15=14,"Л",IF(C15=15,"А",IF(C15="*","О",""))))))))))))))))</f>
        <v/>
      </c>
      <c r="N15" s="30" t="str">
        <f>IF(D15=1,"Д",IF(D15=2,"-",IF(D15=3,"ГЦ",IF(D15=4,"К",IF(D15=5,"-",IF(D15=6,"-",IF(D15=7,"СС",IF(D15=8,"-",IF(D15=9,"-",IF(D15=10,"-",IF(D15=11,"-",IF(D15=12,"-",IF(D15=13,"-",IF(D15=14,"Л",IF(D15=15,"А",IF(D15="*","О",""))))))))))))))))</f>
        <v/>
      </c>
      <c r="O15" s="203" t="str">
        <f>IF(E15=1,"Д",IF(E15=2,"-",IF(E15=3,"ГЦ",IF(E15=4,"К",IF(E15=5,"-",IF(E15=6,"-",IF(E15=7,"СС",IF(E15=8,"-",IF(E15=9,"-",IF(E15=10,"-",IF(E15=11,"-",IF(E15=12,"-",IF(E15=13,"-",IF(E15=14,"Л",IF(E15=15,"А",IF(E15="*","О",""))))))))))))))))</f>
        <v/>
      </c>
      <c r="P15" s="202" t="str">
        <f>IF(F15=1,"-",IF(F15=2,"-",IF(F15=3,"d",IF(F15=4,"-",IF(F15=5,"-",IF(F15=6,"И",IF(F15=7,"-",IF(F15=8,"-",IF(F15=9,"-",IF(F15=10,"-",IF(F15=11,"-",IF(F15=12,"Д",IF(F15=13,"-",IF(F15=14,"-",IF(F15=15,"-",IF(F15="*","О",""))))))))))))))))</f>
        <v/>
      </c>
      <c r="Q15" s="30" t="str">
        <f>IF(G15=1,"-",IF(G15=2,"-",IF(G15=3,"d",IF(G15=4,"-",IF(G15=5,"-",IF(G15=6,"И",IF(G15=7,"-",IF(G15=8,"-",IF(G15=9,"-",IF(G15=10,"-",IF(G15=11,"-",IF(G15=12,"Д",IF(G15=13,"-",IF(G15=14,"-",IF(G15=15,"-",IF(G15="*","О",""))))))))))))))))</f>
        <v/>
      </c>
      <c r="R15" s="203" t="str">
        <f>IF(H15=1,"-",IF(H15=2,"-",IF(H15=3,"d",IF(H15=4,"-",IF(H15=5,"-",IF(H15=6,"И",IF(H15=7,"-",IF(H15=8,"-",IF(H15=9,"-",IF(H15=10,"-",IF(H15=11,"-",IF(H15=12,"Д",IF(H15=13,"-",IF(H15=14,"-",IF(H15=15,"-",IF(H15="*","О",""))))))))))))))))</f>
        <v/>
      </c>
      <c r="U15" s="31"/>
      <c r="V15" s="37">
        <f>DI7</f>
        <v>0</v>
      </c>
      <c r="W15" s="37"/>
      <c r="X15" s="47">
        <f>BY7</f>
        <v>0</v>
      </c>
      <c r="Y15" s="47"/>
      <c r="Z15" s="34">
        <f>DL7</f>
        <v>0</v>
      </c>
      <c r="AA15" s="31"/>
      <c r="AB15" s="51">
        <f>DF9</f>
        <v>0</v>
      </c>
      <c r="AC15" s="51">
        <f>CU7</f>
        <v>0</v>
      </c>
      <c r="AD15" s="31">
        <f>DR9</f>
        <v>0</v>
      </c>
      <c r="AE15" s="51">
        <f>CG7</f>
        <v>0</v>
      </c>
      <c r="AF15" s="51"/>
      <c r="AG15" s="51"/>
      <c r="AH15" s="31"/>
      <c r="AI15" s="51"/>
      <c r="AJ15" s="51"/>
      <c r="AK15" s="51"/>
      <c r="AL15" s="31"/>
      <c r="AM15" s="31"/>
      <c r="AN15" s="31"/>
      <c r="CB15" s="380" t="s">
        <v>263</v>
      </c>
      <c r="CC15" s="380"/>
      <c r="CD15" s="159">
        <v>2</v>
      </c>
      <c r="CM15" s="160">
        <f>IF(Z23&lt;3,2,0)</f>
        <v>2</v>
      </c>
      <c r="CN15" s="8"/>
      <c r="CO15" s="8"/>
      <c r="CP15" s="8"/>
      <c r="CQ15" s="8"/>
      <c r="CR15" s="8"/>
      <c r="CT15" s="100"/>
      <c r="CU15" s="100"/>
      <c r="CV15" s="100"/>
      <c r="CX15" s="55" t="s">
        <v>221</v>
      </c>
      <c r="CY15" s="55" t="s">
        <v>222</v>
      </c>
      <c r="DH15" s="78">
        <f t="shared" ref="DH15:DP15" si="3">DH5</f>
        <v>0</v>
      </c>
      <c r="DI15" s="78">
        <f t="shared" si="3"/>
        <v>0</v>
      </c>
      <c r="DJ15" s="78">
        <f t="shared" si="3"/>
        <v>0</v>
      </c>
      <c r="DK15" s="78">
        <f t="shared" si="3"/>
        <v>0</v>
      </c>
      <c r="DL15" s="78">
        <f t="shared" si="3"/>
        <v>0</v>
      </c>
      <c r="DM15" s="78">
        <f t="shared" si="3"/>
        <v>0</v>
      </c>
      <c r="DN15" s="78">
        <f t="shared" si="3"/>
        <v>0</v>
      </c>
      <c r="DO15" s="78">
        <f t="shared" si="3"/>
        <v>0</v>
      </c>
      <c r="DP15" s="78">
        <f t="shared" si="3"/>
        <v>0</v>
      </c>
    </row>
    <row r="16" spans="1:122" ht="20.100000000000001" customHeight="1" thickBot="1" x14ac:dyDescent="0.3">
      <c r="A16" s="22">
        <v>12</v>
      </c>
      <c r="B16" s="119" t="s">
        <v>460</v>
      </c>
      <c r="C16" s="308"/>
      <c r="D16" s="309"/>
      <c r="E16" s="308"/>
      <c r="F16" s="308"/>
      <c r="G16" s="308"/>
      <c r="H16" s="310"/>
      <c r="I16" s="592"/>
      <c r="J16" s="8"/>
      <c r="K16" s="66"/>
      <c r="L16" s="211">
        <v>12</v>
      </c>
      <c r="M16" s="202" t="str">
        <f>IF(C16=1,"-",IF(C16=2,"-",IF(C16=3,"-",IF(C16=4,"-",IF(C16=5,"ММ",IF(C16=6,"-",IF(C16=7,"Г",IF(C16=8,"-",IF(C16=9,"-",IF(C16=10,"В",IF(C16=11,"-",IF(C16=12,"-",IF(C16=13,"-",IF(C16=14,"-",IF(C16=15,"-",IF(C16=16,"d",IF(C16=17,"-",IF(C16="*","О",""))))))))))))))))))</f>
        <v/>
      </c>
      <c r="N16" s="30" t="str">
        <f>IF(D16=1,"-",IF(D16=2,"-",IF(D16=3,"-",IF(D16=4,"-",IF(D16=5,"ММ",IF(D16=6,"-",IF(D16=7,"Г",IF(D16=8,"-",IF(D16=9,"-",IF(D16=10,"В",IF(D16=11,"-",IF(D16=12,"-",IF(D16=13,"-",IF(D16=14,"-",IF(D16=15,"-",IF(D16=16,"d",IF(D16=17,"-",IF(D16="*","О",""))))))))))))))))))</f>
        <v/>
      </c>
      <c r="O16" s="203" t="str">
        <f>IF(E16=1,"-",IF(E16=2,"-",IF(E16=3,"-",IF(E16=4,"-",IF(E16=5,"ММ",IF(E16=6,"-",IF(E16=7,"Г",IF(E16=8,"-",IF(E16=9,"-",IF(E16=10,"В",IF(E16=11,"-",IF(E16=12,"-",IF(E16=13,"-",IF(E16=14,"-",IF(E16=15,"-",IF(E16=16,"d",IF(E16=17,"-",IF(E16="*","О",""))))))))))))))))))</f>
        <v/>
      </c>
      <c r="P16" s="202" t="str">
        <f>IF(F16=1,"-",IF(F16=2,"ЭФ",IF(F16=3,"-",IF(F16=4,"-",IF(F16=5,"-",IF(F16=6,"-",IF(F16=7,"С",IF(F16=8,"-",IF(F16=9,"-",IF(F16=10,"С",IF(F16=11,"-",IF(F16=12,"-",IF(F16=13,"П",IF(F16=14,"-",IF(F16=15,"-",IF(F16=16,"-",IF(F16=17,"-",IF(F16="*","О",""))))))))))))))))))</f>
        <v/>
      </c>
      <c r="Q16" s="30" t="str">
        <f>IF(G16=1,"-",IF(G16=2,"ЭФ",IF(G16=3,"-",IF(G16=4,"-",IF(G16=5,"-",IF(G16=6,"-",IF(G16=7,"С",IF(G16=8,"-",IF(G16=9,"-",IF(G16=10,"С",IF(G16=11,"-",IF(G16=12,"-",IF(G16=13,"П",IF(G16=14,"-",IF(G16=15,"-",IF(G16=16,"-",IF(G16=17,"-",IF(G16="*","О",""))))))))))))))))))</f>
        <v/>
      </c>
      <c r="R16" s="203" t="str">
        <f>IF(H16=1,"-",IF(H16=2,"ЭФ",IF(H16=3,"-",IF(H16=4,"-",IF(H16=5,"-",IF(H16=6,"-",IF(H16=7,"С",IF(H16=8,"-",IF(H16=9,"-",IF(H16=10,"С",IF(H16=11,"-",IF(H16=12,"-",IF(H16=13,"П",IF(H16=14,"-",IF(H16=15,"-",IF(H16=16,"-",IF(H16=17,"-",IF(H16="*","О",""))))))))))))))))))</f>
        <v/>
      </c>
      <c r="U16" s="51"/>
      <c r="V16" s="37">
        <f>DR7</f>
        <v>0</v>
      </c>
      <c r="W16" s="34"/>
      <c r="X16" s="47">
        <f>CB8</f>
        <v>0</v>
      </c>
      <c r="Y16" s="34"/>
      <c r="Z16" s="34">
        <f>DM7</f>
        <v>0</v>
      </c>
      <c r="AA16" s="51"/>
      <c r="AB16" s="51">
        <f>DH9</f>
        <v>0</v>
      </c>
      <c r="AC16" s="31">
        <f>CZ7</f>
        <v>0</v>
      </c>
      <c r="AD16" s="51"/>
      <c r="AE16" s="51">
        <f>DR10</f>
        <v>0</v>
      </c>
      <c r="AF16" s="51"/>
      <c r="AG16" s="31"/>
      <c r="AH16" s="23"/>
      <c r="AI16" s="23"/>
      <c r="AJ16" s="23"/>
      <c r="AK16" s="23"/>
      <c r="AL16" s="23"/>
      <c r="AM16" s="31"/>
      <c r="AN16" s="31"/>
      <c r="CB16" s="380" t="s">
        <v>264</v>
      </c>
      <c r="CC16" s="380"/>
      <c r="CD16" s="159">
        <v>1</v>
      </c>
      <c r="CM16" s="5">
        <f>IF(AC23&gt;6,1,0)</f>
        <v>0</v>
      </c>
      <c r="CT16" s="100"/>
      <c r="CU16" s="100"/>
      <c r="CV16" s="100"/>
      <c r="CW16" s="5"/>
      <c r="CX16" s="5">
        <f>IF(V23&lt;3,1,0)</f>
        <v>1</v>
      </c>
      <c r="CY16" s="5">
        <f>IF(V23&gt;6,-1,0)</f>
        <v>0</v>
      </c>
      <c r="CZ16" s="5"/>
      <c r="DG16" s="80" t="s">
        <v>221</v>
      </c>
      <c r="DH16" s="5"/>
      <c r="DI16" s="5">
        <f>DI15*2</f>
        <v>0</v>
      </c>
      <c r="DJ16" s="5">
        <f>DJ15*2</f>
        <v>0</v>
      </c>
      <c r="DK16" s="5">
        <f>DK15</f>
        <v>0</v>
      </c>
      <c r="DL16" s="5"/>
      <c r="DM16" s="5"/>
      <c r="DN16" s="5"/>
      <c r="DO16" s="5">
        <f>DO15</f>
        <v>0</v>
      </c>
      <c r="DP16" s="5">
        <f>DP15*2</f>
        <v>0</v>
      </c>
      <c r="DQ16" s="5">
        <f>SUM(DH16:DP16)</f>
        <v>0</v>
      </c>
    </row>
    <row r="17" spans="1:121" ht="20.100000000000001" customHeight="1" thickBot="1" x14ac:dyDescent="0.3">
      <c r="A17" s="22">
        <v>13</v>
      </c>
      <c r="B17" s="119" t="s">
        <v>461</v>
      </c>
      <c r="C17" s="114"/>
      <c r="D17" s="115"/>
      <c r="E17" s="114"/>
      <c r="F17" s="114"/>
      <c r="G17" s="114"/>
      <c r="H17" s="116"/>
      <c r="I17" s="592"/>
      <c r="J17" s="8"/>
      <c r="K17" s="66"/>
      <c r="L17" s="212">
        <v>13</v>
      </c>
      <c r="M17" s="202" t="str">
        <f>IF(C17=1,"ЭЭ",IF(C17=2,"-",IF(C17=3,"-",IF(C17=4,"-",IF(C17=5,"-",IF(C17=6,"-",IF(C17=7,"-",IF(C17=8,"Ц",IF(C17=9,"ГЦ",IF(C17=10,"-",IF(C17=11,"-",IF(C17=12,"СС",IF(C17="*","О","")))))))))))))</f>
        <v/>
      </c>
      <c r="N17" s="30" t="str">
        <f>IF(D17=1,"ЭЭ",IF(D17=2,"-",IF(D17=3,"-",IF(D17=4,"-",IF(D17=5,"-",IF(D17=6,"-",IF(D17=7,"-",IF(D17=8,"Ц",IF(D17=9,"ГЦ",IF(D17=10,"-",IF(D17=11,"-",IF(D17=12,"СС",IF(D17="*","О","")))))))))))))</f>
        <v/>
      </c>
      <c r="O17" s="203" t="str">
        <f>IF(E17=1,"ЭЭ",IF(E17=2,"-",IF(E17=3,"-",IF(E17=4,"-",IF(E17=5,"-",IF(E17=6,"-",IF(E17=7,"-",IF(E17=8,"Ц",IF(E17=9,"ГЦ",IF(E17=10,"-",IF(E17=11,"-",IF(E17=12,"СС",IF(E17="*","О","")))))))))))))</f>
        <v/>
      </c>
      <c r="P17" s="202" t="str">
        <f>IF(F17=1,"Г",IF(F17=2,"ЭЭ",IF(F17=3,"-",IF(F17=4,"-",IF(F17=5,"-",IF(F17=6,"-",IF(F17=7,"-",IF(F17=8,"Г",IF(F17=9,"С",IF(F17=10,"-",IF(F17=11,"-",IF(F17=12,"-",IF(F17="*","О","")))))))))))))</f>
        <v/>
      </c>
      <c r="Q17" s="30" t="str">
        <f>IF(G17=1,"Г",IF(G17=2,"ЭЭ",IF(G17=3,"-",IF(G17=4,"-",IF(G17=5,"-",IF(G17=6,"-",IF(G17=7,"-",IF(G17=8,"Г",IF(G17=9,"С",IF(G17=10,"-",IF(G17=11,"-",IF(G17=12,"-",IF(G17="*","О","")))))))))))))</f>
        <v/>
      </c>
      <c r="R17" s="203" t="str">
        <f>IF(H17=1,"Г",IF(H17=2,"ЭЭ",IF(H17=3,"-",IF(H17=4,"-",IF(H17=5,"-",IF(H17=6,"-",IF(H17=7,"-",IF(H17=8,"Г",IF(H17=9,"С",IF(H17=10,"-",IF(H17=11,"-",IF(H17=12,"-",IF(H17="*","О","")))))))))))))</f>
        <v/>
      </c>
      <c r="U17" s="51"/>
      <c r="V17" s="37"/>
      <c r="W17" s="37"/>
      <c r="X17" s="47">
        <f>CC7</f>
        <v>0</v>
      </c>
      <c r="Y17" s="34"/>
      <c r="Z17" s="34"/>
      <c r="AA17" s="51"/>
      <c r="AB17" s="51">
        <f>CH7</f>
        <v>0</v>
      </c>
      <c r="AC17" s="51">
        <f>DB10</f>
        <v>0</v>
      </c>
      <c r="AD17" s="31"/>
      <c r="AE17" s="51"/>
      <c r="AF17" s="31"/>
      <c r="AG17" s="23"/>
      <c r="AH17" s="23"/>
      <c r="AI17" s="23"/>
      <c r="AJ17" s="23"/>
      <c r="AK17" s="23"/>
      <c r="AL17" s="23"/>
      <c r="AM17" s="31"/>
      <c r="AN17" s="31"/>
      <c r="CB17" s="380" t="s">
        <v>207</v>
      </c>
      <c r="CC17" s="380"/>
      <c r="CD17" s="159">
        <v>2</v>
      </c>
      <c r="CM17" s="5">
        <f>IF(AE23&gt;6,2,0)</f>
        <v>0</v>
      </c>
      <c r="CT17" s="100"/>
      <c r="CU17" s="100"/>
      <c r="CV17" s="100"/>
      <c r="CW17" s="5"/>
      <c r="CX17" s="5">
        <f>IF(Z23&lt;6,1,0)</f>
        <v>1</v>
      </c>
      <c r="CY17" s="5">
        <f>IF(AD23&gt;6,-1,0)</f>
        <v>0</v>
      </c>
      <c r="CZ17" s="5"/>
      <c r="DG17" s="80" t="s">
        <v>222</v>
      </c>
      <c r="DH17" s="5">
        <f>DH15*3</f>
        <v>0</v>
      </c>
      <c r="DI17" s="5"/>
      <c r="DJ17" s="5"/>
      <c r="DK17" s="5"/>
      <c r="DL17" s="5">
        <f>DL15</f>
        <v>0</v>
      </c>
      <c r="DM17" s="81">
        <f>DM15*3</f>
        <v>0</v>
      </c>
      <c r="DN17" s="81">
        <f>DN15</f>
        <v>0</v>
      </c>
      <c r="DO17" s="81"/>
      <c r="DP17" s="81"/>
      <c r="DQ17" s="81">
        <f>SUM(DH17:DP17)</f>
        <v>0</v>
      </c>
    </row>
    <row r="18" spans="1:121" ht="20.100000000000001" customHeight="1" thickBot="1" x14ac:dyDescent="0.3">
      <c r="A18" s="22">
        <v>14</v>
      </c>
      <c r="B18" s="119" t="s">
        <v>462</v>
      </c>
      <c r="C18" s="308"/>
      <c r="D18" s="309"/>
      <c r="E18" s="308"/>
      <c r="F18" s="308"/>
      <c r="G18" s="308"/>
      <c r="H18" s="310"/>
      <c r="I18" s="592"/>
      <c r="J18" s="8"/>
      <c r="K18" s="66"/>
      <c r="L18" s="211">
        <v>14</v>
      </c>
      <c r="M18" s="202" t="str">
        <f>IF(C18=1,"И",IF(C18=2,"СШШ",IF(C18=3,"ГЭН",IF(C18=4,"ЛА",IF(C18=5,"-",IF(C18=6,"d",IF(C18=7,"-",IF(C18=8,"Ш",IF(C18=9,"-",IF(C18=10,"-",IF(C18=11,"Л",IF(C18="*","О",""))))))))))))</f>
        <v/>
      </c>
      <c r="N18" s="30" t="str">
        <f>IF(D18=1,"И",IF(D18=2,"СШШ",IF(D18=3,"ГЭН",IF(D18=4,"ЛА",IF(D18=5,"-",IF(D18=6,"d",IF(D18=7,"-",IF(D18=8,"Ш",IF(D18=9,"-",IF(D18=10,"-",IF(D18=11,"Л",IF(D18="*","О",""))))))))))))</f>
        <v/>
      </c>
      <c r="O18" s="203" t="str">
        <f>IF(E18=1,"И",IF(E18=2,"СШШ",IF(E18=3,"ГЭН",IF(E18=4,"ЛА",IF(E18=5,"-",IF(E18=6,"d",IF(E18=7,"-",IF(E18=8,"Ш",IF(E18=9,"-",IF(E18=10,"-",IF(E18=11,"Л",IF(E18="*","О",""))))))))))))</f>
        <v/>
      </c>
      <c r="P18" s="202" t="str">
        <f>IF(F18=1,"ШШ",IF(F18=2,"-",IF(F18=3,"СПШШШ",IF(F18=4,"-",IF(F18=5,"ЭИВ",IF(F18=6,"-",IF(F18=7,"-",IF(F18=8,"-",IF(F18=9,"-",IF(F18=10,"-",IF(F18=11,"-",IF(F18="*","О",""))))))))))))</f>
        <v/>
      </c>
      <c r="Q18" s="30" t="str">
        <f>IF(G18=1,"ШШ",IF(G18=2,"-",IF(G18=3,"СПШШШ",IF(G18=4,"-",IF(G18=5,"ЭИВ",IF(G18=6,"-",IF(G18=7,"-",IF(G18=8,"-",IF(G18=9,"-",IF(G18=10,"-",IF(G18=11,"-",IF(G18="*","О",""))))))))))))</f>
        <v/>
      </c>
      <c r="R18" s="203" t="str">
        <f>IF(H18=1,"ШШ",IF(H18=2,"-",IF(H18=3,"СПШШШ",IF(H18=4,"-",IF(H18=5,"ЭИВ",IF(H18=6,"-",IF(H18=7,"-",IF(H18=8,"-",IF(H18=9,"-",IF(H18=10,"-",IF(H18=11,"-",IF(H18="*","О",""))))))))))))</f>
        <v/>
      </c>
      <c r="U18" s="51"/>
      <c r="V18" s="37"/>
      <c r="W18" s="37"/>
      <c r="X18" s="47">
        <f>CM7</f>
        <v>0</v>
      </c>
      <c r="Y18" s="34"/>
      <c r="Z18" s="34"/>
      <c r="AA18" s="51"/>
      <c r="AB18" s="51"/>
      <c r="AC18" s="51">
        <f>DE9</f>
        <v>0</v>
      </c>
      <c r="AD18" s="51"/>
      <c r="AE18" s="51"/>
      <c r="AF18" s="51"/>
      <c r="AG18" s="51"/>
      <c r="AH18" s="31"/>
      <c r="AI18" s="31"/>
      <c r="AJ18" s="31"/>
      <c r="AK18" s="31"/>
      <c r="AL18" s="31"/>
      <c r="AM18" s="31"/>
      <c r="AN18" s="31"/>
      <c r="CB18" s="380" t="s">
        <v>265</v>
      </c>
      <c r="CC18" s="380"/>
      <c r="CD18" s="159">
        <v>1</v>
      </c>
      <c r="CM18" s="5">
        <f>IF(DQ18&gt;3,1,0)</f>
        <v>0</v>
      </c>
      <c r="CT18" s="100"/>
      <c r="CU18" s="100"/>
      <c r="CV18" s="100"/>
      <c r="CW18" s="5"/>
      <c r="CX18" s="5">
        <f>IF(AE23&lt;3,1,0)</f>
        <v>1</v>
      </c>
      <c r="CY18" s="5">
        <f>IF(AI23&gt;6,-1,0)</f>
        <v>0</v>
      </c>
      <c r="CZ18" s="5"/>
      <c r="DG18" t="str">
        <f>IF(DQ18&gt;5,"склонность показная",IF(DQ18&gt;1,"склонность есть",IF(DQ18&lt;1,"склоность не определена")))</f>
        <v>склоность не определена</v>
      </c>
      <c r="DM18" s="413" t="s">
        <v>220</v>
      </c>
      <c r="DN18" s="414"/>
      <c r="DO18" s="414"/>
      <c r="DP18" s="415"/>
      <c r="DQ18" s="68">
        <f>DQ16-DQ17</f>
        <v>0</v>
      </c>
    </row>
    <row r="19" spans="1:121" ht="20.100000000000001" customHeight="1" thickBot="1" x14ac:dyDescent="0.3">
      <c r="A19" s="22">
        <v>15</v>
      </c>
      <c r="B19" s="119" t="s">
        <v>463</v>
      </c>
      <c r="C19" s="114"/>
      <c r="D19" s="115"/>
      <c r="E19" s="114"/>
      <c r="F19" s="114"/>
      <c r="G19" s="114"/>
      <c r="H19" s="116"/>
      <c r="I19" s="592"/>
      <c r="J19" s="8"/>
      <c r="K19" s="66"/>
      <c r="L19" s="212">
        <v>15</v>
      </c>
      <c r="M19" s="202" t="str">
        <f>IF(C19=1,"-",IF(C19=2,"-",IF(C19=3,"М",IF(C19=4,"-",IF(C19=5,"ГГ",IF(C19=6,"-",IF(C19=7,"П",IF(C19=8,"Э",IF(C19=9,"-",IF(C19=10,"П",IF(C19=11,"d",IF(C19=12,"-",IF(C19=13,"-",IF(C19="*","О",""))))))))))))))</f>
        <v/>
      </c>
      <c r="N19" s="30" t="str">
        <f>IF(D19=1,"-",IF(D19=2,"-",IF(D19=3,"М",IF(D19=4,"-",IF(D19=5,"ГГ",IF(D19=6,"-",IF(D19=7,"П",IF(D19=8,"Э",IF(D19=9,"-",IF(D19=10,"П",IF(D19=11,"d",IF(D19=12,"-",IF(D19=13,"-",IF(D19="*","О",""))))))))))))))</f>
        <v/>
      </c>
      <c r="O19" s="203" t="str">
        <f>IF(E19=1,"-",IF(E19=2,"-",IF(E19=3,"М",IF(E19=4,"-",IF(E19=5,"ГГ",IF(E19=6,"-",IF(E19=7,"П",IF(E19=8,"Э",IF(E19=9,"-",IF(E19=10,"П",IF(E19=11,"d",IF(E19=12,"-",IF(E19=13,"-",IF(E19="*","О",""))))))))))))))</f>
        <v/>
      </c>
      <c r="P19" s="202" t="str">
        <f>IF(F19=1,"-",IF(F19=2,"-",IF(F19=3,"-",IF(F19=4,"-",IF(F19=5,"-",IF(F19=6,"-",IF(F19=7,"-",IF(F19=8,"-",IF(F19=9,"-",IF(F19=10,"-",IF(F19=11,"-",IF(F19=12,"-",IF(F19=13,"-",IF(F19="*","О",""))))))))))))))</f>
        <v/>
      </c>
      <c r="Q19" s="30" t="str">
        <f>IF(G19=1,"-",IF(G19=2,"-",IF(G19=3,"-",IF(G19=4,"-",IF(G19=5,"-",IF(G19=6,"-",IF(G19=7,"-",IF(G19=8,"-",IF(G19=9,"-",IF(G19=10,"-",IF(G19=11,"-",IF(G19=12,"-",IF(G19=13,"-",IF(G19="*","О",""))))))))))))))</f>
        <v/>
      </c>
      <c r="R19" s="203" t="str">
        <f>IF(H19=1,"-",IF(H19=2,"-",IF(H19=3,"-",IF(H19=4,"-",IF(H19=5,"-",IF(H19=6,"-",IF(H19=7,"-",IF(H19=8,"-",IF(H19=9,"-",IF(H19=10,"-",IF(H19=11,"-",IF(H19=12,"-",IF(H19=13,"-",IF(H19="*","О",""))))))))))))))</f>
        <v/>
      </c>
      <c r="U19" s="51"/>
      <c r="V19" s="37"/>
      <c r="W19" s="47"/>
      <c r="X19" s="47">
        <f>CQ7</f>
        <v>0</v>
      </c>
      <c r="Y19" s="34"/>
      <c r="Z19" s="34"/>
      <c r="AA19" s="51"/>
      <c r="AB19" s="51"/>
      <c r="AC19" s="51">
        <f>CI8</f>
        <v>0</v>
      </c>
      <c r="AD19" s="51"/>
      <c r="AE19" s="31"/>
      <c r="AF19" s="23"/>
      <c r="AG19" s="23"/>
      <c r="AH19" s="23"/>
      <c r="AI19" s="31"/>
      <c r="AJ19" s="31"/>
      <c r="AK19" s="31"/>
      <c r="AL19" s="31"/>
      <c r="AM19" s="31"/>
      <c r="AN19" s="31"/>
      <c r="CM19" s="71">
        <f>SUM(CM15:CM18)</f>
        <v>2</v>
      </c>
      <c r="CO19" s="439" t="str">
        <f>IF(CM19&lt;2,"риск отсутствует",IF(CM19=2,"умеренный риск",IF(CM19=3,"выраженный риск",IF(CM19&gt;3,"очень высокий риск."))))</f>
        <v>умеренный риск</v>
      </c>
      <c r="CP19" s="439"/>
      <c r="CW19" s="5"/>
      <c r="CX19" s="5">
        <f>IF(AI23&gt;AH23,1,0)</f>
        <v>0</v>
      </c>
      <c r="CY19" s="5">
        <f>IF(CZ19&gt;3,-1,0)</f>
        <v>0</v>
      </c>
      <c r="CZ19" s="5">
        <f>AH23-AI23</f>
        <v>0</v>
      </c>
    </row>
    <row r="20" spans="1:121" ht="20.100000000000001" customHeight="1" thickBot="1" x14ac:dyDescent="0.3">
      <c r="A20" s="22">
        <v>16</v>
      </c>
      <c r="B20" s="119" t="s">
        <v>464</v>
      </c>
      <c r="C20" s="308"/>
      <c r="D20" s="309"/>
      <c r="E20" s="308"/>
      <c r="F20" s="308"/>
      <c r="G20" s="308"/>
      <c r="H20" s="310"/>
      <c r="I20" s="592"/>
      <c r="J20" s="8"/>
      <c r="K20" s="66"/>
      <c r="L20" s="211">
        <v>16</v>
      </c>
      <c r="M20" s="202" t="str">
        <f>IF(C20=1,"-",IF(C20=2,"-",IF(C20=3,"-",IF(C20=4,"-",IF(C20=5,"Ш",IF(C20=6,"-",IF(C20=7,"-",IF(C20=8,"d",IF(C20=9,"ЛЭ",IF(C20=10,"ПШШЭ",IF(C20="*","О","")))))))))))</f>
        <v/>
      </c>
      <c r="N20" s="30" t="str">
        <f>IF(D20=1,"-",IF(D20=2,"-",IF(D20=3,"-",IF(D20=4,"-",IF(D20=5,"Ш",IF(D20=6,"-",IF(D20=7,"-",IF(D20=8,"d",IF(D20=9,"ЛЭ",IF(D20=10,"ПШШЭ",IF(D20="*","О","")))))))))))</f>
        <v/>
      </c>
      <c r="O20" s="203" t="str">
        <f>IF(E20=1,"-",IF(E20=2,"-",IF(E20=3,"-",IF(E20=4,"-",IF(E20=5,"Ш",IF(E20=6,"-",IF(E20=7,"-",IF(E20=8,"d",IF(E20=9,"ЛЭ",IF(E20=10,"ПШШЭ",IF(E20="*","О","")))))))))))</f>
        <v/>
      </c>
      <c r="P20" s="202" t="str">
        <f>IF(F20=1,"-",IF(F20=2,"-",IF(F20=3,"-",IF(F20=4,"-",IF(F20=5,"-",IF(F20=6,"Э",IF(F20=7,"ИД",IF(F20=8,"-",IF(F20=9,"-",IF(F20=10,"-",IF(F20="*","О","")))))))))))</f>
        <v/>
      </c>
      <c r="Q20" s="30" t="str">
        <f>IF(G20=1,"-",IF(G20=2,"-",IF(G20=3,"-",IF(G20=4,"-",IF(G20=5,"-",IF(G20=6,"Э",IF(G20=7,"ИД",IF(G20=8,"-",IF(G20=9,"-",IF(G20=10,"-",IF(G20="*","О","")))))))))))</f>
        <v/>
      </c>
      <c r="R20" s="203" t="str">
        <f>IF(H20=1,"-",IF(H20=2,"-",IF(H20=3,"-",IF(H20=4,"-",IF(H20=5,"-",IF(H20=6,"Э",IF(H20=7,"ИД",IF(H20=8,"-",IF(H20=9,"-",IF(H20=10,"-",IF(H20="*","О","")))))))))))</f>
        <v/>
      </c>
      <c r="U20" s="51"/>
      <c r="V20" s="51"/>
      <c r="W20" s="31"/>
      <c r="X20" s="51">
        <f>DB8</f>
        <v>0</v>
      </c>
      <c r="Y20" s="51"/>
      <c r="Z20" s="51"/>
      <c r="AA20" s="51"/>
      <c r="AB20" s="51"/>
      <c r="AC20" s="51">
        <f>CJ7</f>
        <v>0</v>
      </c>
      <c r="AD20" s="51"/>
      <c r="AE20" s="51"/>
      <c r="AF20" s="51"/>
      <c r="AG20" s="31"/>
      <c r="AH20" s="31"/>
      <c r="AI20" s="31"/>
      <c r="AJ20" s="31"/>
      <c r="AK20" s="31"/>
      <c r="AL20" s="31"/>
      <c r="AM20" s="31"/>
      <c r="AN20" s="31"/>
      <c r="CW20" s="5">
        <f>IF(AM23&lt;AN23,1,0)</f>
        <v>0</v>
      </c>
      <c r="CX20" s="5">
        <f>IF(C31=1,CW20,0)</f>
        <v>0</v>
      </c>
      <c r="CY20" s="5"/>
      <c r="CZ20" s="5"/>
    </row>
    <row r="21" spans="1:121" ht="20.100000000000001" customHeight="1" thickBot="1" x14ac:dyDescent="0.3">
      <c r="A21" s="22">
        <v>17</v>
      </c>
      <c r="B21" s="119" t="s">
        <v>465</v>
      </c>
      <c r="C21" s="114"/>
      <c r="D21" s="115"/>
      <c r="E21" s="114"/>
      <c r="F21" s="114"/>
      <c r="G21" s="114"/>
      <c r="H21" s="116"/>
      <c r="I21" s="592"/>
      <c r="J21" s="8"/>
      <c r="K21" s="66"/>
      <c r="L21" s="212">
        <v>17</v>
      </c>
      <c r="M21" s="202" t="str">
        <f>IF(C21=1,"ШВ",IF(C21=2,"-",IF(C21=3,"Э",IF(C21=4,"-",IF(C21=5,"И",IF(C21=6,"-",IF(C21=7,"ЭЭd",IF(C21=8,"-",IF(C21=9,"-",IF(C21=10,"П",IF(C21=11,"-",IF(C21=12,"-",IF(C21=13,"К",IF(C21="*","О",""))))))))))))))</f>
        <v/>
      </c>
      <c r="N21" s="30" t="str">
        <f>IF(D21=1,"ШВ",IF(D21=2,"-",IF(D21=3,"Э",IF(D21=4,"-",IF(D21=5,"И",IF(D21=6,"-",IF(D21=7,"ЭЭd",IF(D21=8,"-",IF(D21=9,"-",IF(D21=10,"П",IF(D21=11,"-",IF(D21=12,"-",IF(D21=13,"К",IF(D21="*","О",""))))))))))))))</f>
        <v/>
      </c>
      <c r="O21" s="203" t="str">
        <f>IF(E21=1,"ШВ",IF(E21=2,"-",IF(E21=3,"Э",IF(E21=4,"-",IF(E21=5,"И",IF(E21=6,"-",IF(E21=7,"ЭЭd",IF(E21=8,"-",IF(E21=9,"-",IF(E21=10,"П",IF(E21=11,"-",IF(E21=12,"-",IF(E21=13,"К",IF(E21="*","О",""))))))))))))))</f>
        <v/>
      </c>
      <c r="P21" s="202" t="str">
        <f>IF(F21=1,"ППЭ",IF(F21=2,"ЭЭ",IF(F21=3,"В",IF(F21=4,"-",IF(F21=5,"-",IF(F21=6,"-",IF(F21=7,"-",IF(F21=8,"Л",IF(F21=9,"-",IF(F21=10,"Ц",IF(F21=11,"-",IF(F21=12,"-",IF(F21=13,"-",IF(F21="*","О",""))))))))))))))</f>
        <v/>
      </c>
      <c r="Q21" s="30" t="str">
        <f>IF(G21=1,"ППЭ",IF(G21=2,"ЭЭ",IF(G21=3,"В",IF(G21=4,"-",IF(G21=5,"-",IF(G21=6,"-",IF(G21=7,"-",IF(G21=8,"Л",IF(G21=9,"-",IF(G21=10,"Ц",IF(G21=11,"-",IF(G21=12,"-",IF(G21=13,"-",IF(G21="*","О",""))))))))))))))</f>
        <v/>
      </c>
      <c r="R21" s="203" t="str">
        <f>IF(H21=1,"ППЭ",IF(H21=2,"ЭЭ",IF(H21=3,"В",IF(H21=4,"-",IF(H21=5,"-",IF(H21=6,"-",IF(H21=7,"-",IF(H21=8,"Л",IF(H21=9,"-",IF(H21=10,"Ц",IF(H21=11,"-",IF(H21=12,"-",IF(H21=13,"-",IF(H21="*","О",""))))))))))))))</f>
        <v/>
      </c>
      <c r="U21" s="51"/>
      <c r="V21" s="51"/>
      <c r="W21" s="51"/>
      <c r="X21" s="31">
        <f>DJ8</f>
        <v>0</v>
      </c>
      <c r="Y21" s="51"/>
      <c r="Z21" s="51"/>
      <c r="AA21" s="51"/>
      <c r="AB21" s="51"/>
      <c r="AC21" s="51">
        <f>DR8</f>
        <v>0</v>
      </c>
      <c r="AD21" s="51"/>
      <c r="AE21" s="31"/>
      <c r="AF21" s="23"/>
      <c r="AG21" s="31"/>
      <c r="AH21" s="23"/>
      <c r="AI21" s="31"/>
      <c r="AJ21" s="31"/>
      <c r="AK21" s="31"/>
      <c r="AL21" s="31"/>
      <c r="AM21" s="31"/>
      <c r="AN21" s="31"/>
      <c r="CX21" s="5">
        <f>SUM(CX16:CX20)</f>
        <v>3</v>
      </c>
      <c r="CY21" s="5">
        <f>SUM(CY16:CY20)</f>
        <v>0</v>
      </c>
    </row>
    <row r="22" spans="1:121" ht="20.100000000000001" customHeight="1" thickBot="1" x14ac:dyDescent="0.3">
      <c r="A22" s="22">
        <v>18</v>
      </c>
      <c r="B22" s="119" t="s">
        <v>466</v>
      </c>
      <c r="C22" s="308"/>
      <c r="D22" s="309"/>
      <c r="E22" s="308"/>
      <c r="F22" s="308"/>
      <c r="G22" s="308"/>
      <c r="H22" s="310"/>
      <c r="I22" s="592"/>
      <c r="J22" s="8"/>
      <c r="K22" s="66"/>
      <c r="L22" s="211">
        <v>18</v>
      </c>
      <c r="M22" s="202" t="str">
        <f>IF(C22=1,"Г",IF(C22=2,"С",IF(C22=3,"СМ",IF(C22=4,"-",IF(C22=5,"-",IF(C22=6,"В",IF(C22=7,"Ф",IF(C22=8,"-",IF(C22=9,"Г",IF(C22=10,"-",IF(C22="*","О","")))))))))))</f>
        <v/>
      </c>
      <c r="N22" s="30" t="str">
        <f>IF(D22=1,"Г",IF(D22=2,"С",IF(D22=3,"СМ",IF(D22=4,"-",IF(D22=5,"-",IF(D22=6,"В",IF(D22=7,"Ф",IF(D22=8,"-",IF(D22=9,"Г",IF(D22=10,"-",IF(D22="*","О","")))))))))))</f>
        <v/>
      </c>
      <c r="O22" s="203" t="str">
        <f>IF(E22=1,"Г",IF(E22=2,"С",IF(E22=3,"СМ",IF(E22=4,"-",IF(E22=5,"-",IF(E22=6,"В",IF(E22=7,"Ф",IF(E22=8,"-",IF(E22=9,"Г",IF(E22=10,"-",IF(E22="*","О","")))))))))))</f>
        <v/>
      </c>
      <c r="P22" s="202" t="str">
        <f>IF(F22=1,"СС",IF(F22=2,"-",IF(F22=3,"-",IF(F22=4,"-",IF(F22=5,"ЭЭ",IF(F22=6,"-",IF(F22=7,"-",IF(F22=8,"-",IF(F22=9,"-",IF(F22=10,"ЛН",IF(F22="*","О","")))))))))))</f>
        <v/>
      </c>
      <c r="Q22" s="30" t="str">
        <f>IF(G22=1,"СС",IF(G22=2,"-",IF(G22=3,"-",IF(G22=4,"-",IF(G22=5,"ЭЭ",IF(G22=6,"-",IF(G22=7,"-",IF(G22=8,"-",IF(G22=9,"-",IF(G22=10,"ЛН",IF(G22="*","О","")))))))))))</f>
        <v/>
      </c>
      <c r="R22" s="203" t="str">
        <f>IF(H22=1,"СС",IF(H22=2,"-",IF(H22=3,"-",IF(H22=4,"-",IF(H22=5,"ЭЭ",IF(H22=6,"-",IF(H22=7,"-",IF(H22=8,"-",IF(H22=9,"-",IF(H22=10,"ЛН",IF(H22="*","О","")))))))))))</f>
        <v/>
      </c>
      <c r="U22" s="44" t="s">
        <v>96</v>
      </c>
      <c r="V22" s="35" t="s">
        <v>12</v>
      </c>
      <c r="W22" s="35" t="s">
        <v>3</v>
      </c>
      <c r="X22" s="35" t="s">
        <v>15</v>
      </c>
      <c r="Y22" s="35" t="s">
        <v>0</v>
      </c>
      <c r="Z22" s="35" t="s">
        <v>19</v>
      </c>
      <c r="AA22" s="35" t="s">
        <v>4</v>
      </c>
      <c r="AB22" s="35" t="s">
        <v>17</v>
      </c>
      <c r="AC22" s="35" t="s">
        <v>18</v>
      </c>
      <c r="AD22" s="35" t="s">
        <v>20</v>
      </c>
      <c r="AE22" s="35" t="s">
        <v>16</v>
      </c>
      <c r="AF22" s="35" t="s">
        <v>29</v>
      </c>
      <c r="AG22" s="35" t="s">
        <v>14</v>
      </c>
      <c r="AH22" s="35" t="s">
        <v>30</v>
      </c>
      <c r="AI22" s="35" t="s">
        <v>31</v>
      </c>
      <c r="AJ22" s="35" t="s">
        <v>32</v>
      </c>
      <c r="AK22" s="35" t="s">
        <v>33</v>
      </c>
      <c r="AL22" s="35" t="s">
        <v>2</v>
      </c>
      <c r="AM22" s="35" t="s">
        <v>34</v>
      </c>
      <c r="AN22" s="35" t="s">
        <v>35</v>
      </c>
    </row>
    <row r="23" spans="1:121" ht="20.100000000000001" customHeight="1" thickBot="1" x14ac:dyDescent="0.3">
      <c r="A23" s="22">
        <v>19</v>
      </c>
      <c r="B23" s="119" t="s">
        <v>467</v>
      </c>
      <c r="C23" s="114"/>
      <c r="D23" s="115"/>
      <c r="E23" s="114"/>
      <c r="F23" s="114"/>
      <c r="G23" s="114"/>
      <c r="H23" s="116"/>
      <c r="I23" s="592"/>
      <c r="J23" s="8"/>
      <c r="K23" s="66"/>
      <c r="L23" s="212">
        <v>19</v>
      </c>
      <c r="M23" s="202" t="str">
        <f>IF(C23=1,"Ц",IF(C23=2,"-",IF(C23=3,"-",IF(C23=4,"-",IF(C23=5,"-",IF(C23=6,"-",IF(C23=7,"ПП",IF(C23=8,"ЛС",IF(C23=9,"-",IF(C23=10,"-",IF(C23=11,"-",IF(C23=12,"-",IF(C23="*","О","")))))))))))))</f>
        <v/>
      </c>
      <c r="N23" s="30" t="str">
        <f>IF(D23=1,"Ц",IF(D23=2,"-",IF(D23=3,"-",IF(D23=4,"-",IF(D23=5,"-",IF(D23=6,"-",IF(D23=7,"ПП",IF(D23=8,"ЛС",IF(D23=9,"-",IF(D23=10,"-",IF(D23=11,"-",IF(D23=12,"-",IF(D23="*","О","")))))))))))))</f>
        <v/>
      </c>
      <c r="O23" s="203" t="str">
        <f>IF(E23=1,"Ц",IF(E23=2,"-",IF(E23=3,"-",IF(E23=4,"-",IF(E23=5,"-",IF(E23=6,"-",IF(E23=7,"ПП",IF(E23=8,"ЛС",IF(E23=9,"-",IF(E23=10,"-",IF(E23=11,"-",IF(E23=12,"-",IF(E23="*","О","")))))))))))))</f>
        <v/>
      </c>
      <c r="P23" s="202" t="str">
        <f>IF(F23=1,"-",IF(F23=2,"-",IF(F23=3,"-",IF(F23=4,"И",IF(F23=5,"-",IF(F23=6,"-",IF(F23=7,"-",IF(F23=8,"-",IF(F23=9,"И",IF(F23=10,"-",IF(F23=11,"-",IF(F23=12,"-",IF(F23="*","О","")))))))))))))</f>
        <v/>
      </c>
      <c r="Q23" s="30" t="str">
        <f>IF(G23=1,"-",IF(G23=2,"-",IF(G23=3,"-",IF(G23=4,"И",IF(G23=5,"-",IF(G23=6,"-",IF(G23=7,"-",IF(G23=8,"-",IF(G23=9,"И",IF(G23=10,"-",IF(G23=11,"-",IF(G23=12,"-",IF(G23="*","О","")))))))))))))</f>
        <v/>
      </c>
      <c r="R23" s="203" t="str">
        <f>IF(H23=1,"-",IF(H23=2,"-",IF(H23=3,"-",IF(H23=4,"И",IF(H23=5,"-",IF(H23=6,"-",IF(H23=7,"-",IF(H23=8,"-",IF(H23=9,"И",IF(H23=10,"-",IF(H23=11,"-",IF(H23=12,"-",IF(H23="*","О","")))))))))))))</f>
        <v/>
      </c>
      <c r="U23" s="23">
        <f>SUM(U5:U21)</f>
        <v>0</v>
      </c>
      <c r="V23" s="23">
        <f t="shared" ref="V23:AN23" si="4">SUM(V5:V21)</f>
        <v>0</v>
      </c>
      <c r="W23" s="23">
        <f>SUM(W5:W21)</f>
        <v>0</v>
      </c>
      <c r="X23" s="23">
        <f t="shared" si="4"/>
        <v>0</v>
      </c>
      <c r="Y23" s="23">
        <f t="shared" si="4"/>
        <v>0</v>
      </c>
      <c r="Z23" s="23">
        <f t="shared" si="4"/>
        <v>0</v>
      </c>
      <c r="AA23" s="23">
        <f t="shared" si="4"/>
        <v>0</v>
      </c>
      <c r="AB23" s="23">
        <f t="shared" si="4"/>
        <v>0</v>
      </c>
      <c r="AC23" s="23">
        <f t="shared" si="4"/>
        <v>0</v>
      </c>
      <c r="AD23" s="23">
        <f t="shared" si="4"/>
        <v>0</v>
      </c>
      <c r="AE23" s="23">
        <f t="shared" si="4"/>
        <v>0</v>
      </c>
      <c r="AF23" s="23">
        <f t="shared" si="4"/>
        <v>0</v>
      </c>
      <c r="AG23" s="23">
        <f t="shared" si="4"/>
        <v>0</v>
      </c>
      <c r="AH23" s="23">
        <f t="shared" si="4"/>
        <v>0</v>
      </c>
      <c r="AI23" s="23">
        <f t="shared" si="4"/>
        <v>0</v>
      </c>
      <c r="AJ23" s="23">
        <f t="shared" si="4"/>
        <v>0</v>
      </c>
      <c r="AK23" s="23">
        <f t="shared" si="4"/>
        <v>0</v>
      </c>
      <c r="AL23" s="23">
        <f t="shared" si="4"/>
        <v>0</v>
      </c>
      <c r="AM23" s="23">
        <f t="shared" si="4"/>
        <v>0</v>
      </c>
      <c r="AN23" s="23">
        <f t="shared" si="4"/>
        <v>0</v>
      </c>
    </row>
    <row r="24" spans="1:121" ht="20.100000000000001" customHeight="1" thickBot="1" x14ac:dyDescent="0.3">
      <c r="A24" s="22">
        <v>20</v>
      </c>
      <c r="B24" s="119" t="s">
        <v>468</v>
      </c>
      <c r="C24" s="308"/>
      <c r="D24" s="309"/>
      <c r="E24" s="308"/>
      <c r="F24" s="308"/>
      <c r="G24" s="308"/>
      <c r="H24" s="310"/>
      <c r="I24" s="592"/>
      <c r="J24" s="8"/>
      <c r="K24" s="66"/>
      <c r="L24" s="211">
        <v>20</v>
      </c>
      <c r="M24" s="202" t="str">
        <f>IF(C24=1,"ШШЕ",IF(C24=2,"-",IF(C24=3,"-",IF(C24=4,"-",IF(C24=5,"Е",IF(C24=6,"-",IF(C24=7,"НЕd",IF(C24=8,"Т",IF(C24=9,"А",IF(C24=10,"Е",IF(C24=11,"Ц",IF(C24=12,"Е",IF(C24=13,"-",IF(C24="*","ОЕ",""))))))))))))))</f>
        <v/>
      </c>
      <c r="N24" s="30" t="str">
        <f>IF(D24=1,"ШШЕ",IF(D24=2,"-",IF(D24=3,"-",IF(D24=4,"-",IF(D24=5,"Е",IF(D24=6,"-",IF(D24=7,"НЕd",IF(D24=8,"Т",IF(D24=9,"А",IF(D24=10,"Е",IF(D24=11,"Ц",IF(D24=12,"Е",IF(D24=13,"-",IF(D24="*","ОЕ",""))))))))))))))</f>
        <v/>
      </c>
      <c r="O24" s="203" t="str">
        <f>IF(E24=1,"ШШЕ",IF(E24=2,"-",IF(E24=3,"-",IF(E24=4,"-",IF(E24=5,"Е",IF(E24=6,"-",IF(E24=7,"НЕd",IF(E24=8,"Т",IF(E24=9,"А",IF(E24=10,"Е",IF(E24=11,"Ц",IF(E24=12,"Е",IF(E24=13,"-",IF(E24="*","ОЕ",""))))))))))))))</f>
        <v/>
      </c>
      <c r="P24" s="202" t="str">
        <f>IF(F24=1,"К",IF(F24=2,"-",IF(F24=3,"-",IF(F24=4,"-",IF(F24=5,"Л",IF(F24=6,"-",IF(F24=7,"-",IF(F24=8,"-",IF(F24=9,"-",IF(F24=10,"ПП",IF(F24=11,"d",IF(F24=12,"И",IF(F24=13,"-",IF(F24="*","АО",""))))))))))))))</f>
        <v/>
      </c>
      <c r="Q24" s="30" t="str">
        <f>IF(G24=1,"К",IF(G24=2,"-",IF(G24=3,"-",IF(G24=4,"-",IF(G24=5,"Л",IF(G24=6,"-",IF(G24=7,"-",IF(G24=8,"-",IF(G24=9,"-",IF(G24=10,"ПП",IF(G24=11,"d",IF(G24=12,"И",IF(G24=13,"-",IF(G24="*","АО",""))))))))))))))</f>
        <v/>
      </c>
      <c r="R24" s="203" t="str">
        <f>IF(H24=1,"К",IF(H24=2,"-",IF(H24=3,"-",IF(H24=4,"-",IF(H24=5,"Л",IF(H24=6,"-",IF(H24=7,"-",IF(H24=8,"-",IF(H24=9,"-",IF(H24=10,"ПП",IF(H24=11,"d",IF(H24=12,"И",IF(H24=13,"-",IF(H24="*","АО",""))))))))))))))</f>
        <v/>
      </c>
      <c r="T24" s="24"/>
      <c r="U24" s="24"/>
      <c r="V24" s="28"/>
      <c r="W24" s="24"/>
      <c r="X24" s="24"/>
      <c r="Y24" s="24"/>
      <c r="Z24" s="24"/>
      <c r="AA24" s="24"/>
      <c r="AB24" s="24"/>
      <c r="AC24" s="24"/>
      <c r="AD24" s="24"/>
      <c r="AE24" s="24"/>
      <c r="AF24" s="24"/>
      <c r="AG24" s="24"/>
      <c r="AH24" s="24"/>
      <c r="AI24" s="24"/>
    </row>
    <row r="25" spans="1:121" s="38" customFormat="1" ht="20.100000000000001" customHeight="1" thickBot="1" x14ac:dyDescent="0.3">
      <c r="A25" s="22">
        <v>21</v>
      </c>
      <c r="B25" s="119" t="s">
        <v>469</v>
      </c>
      <c r="C25" s="311"/>
      <c r="D25" s="312"/>
      <c r="E25" s="311"/>
      <c r="F25" s="311"/>
      <c r="G25" s="311"/>
      <c r="H25" s="313"/>
      <c r="I25" s="592"/>
      <c r="J25" s="66"/>
      <c r="K25" s="66"/>
      <c r="L25" s="212">
        <v>21</v>
      </c>
      <c r="M25" s="202" t="str">
        <f>IF(C25=1,"ЦПМ",IF(C25=2,"ЭЭ",IF(C25=3,"ДЕ",IF(C25=4,"Е",IF(C25=5,"-",IF(C25=6,"ЦЛ",IF(C25=7,"-",IF(C25=8,"Е",IF(C25=9,"-",IF(C25=10,"-",IF(C25=11,"ИИЕФФ",IF(C25=12,"-",IF(C25=13,"ЕФФФ",IF(C25=14,"ЕФФ",IF(C25="*","ОЕ","")))))))))))))))</f>
        <v/>
      </c>
      <c r="N25" s="30" t="str">
        <f>IF(D25=1,"ЦПМ",IF(D25=2,"ЭЭ",IF(D25=3,"ДЕ",IF(D25=4,"Е",IF(D25=5,"-",IF(D25=6,"ЦЛ",IF(D25=7,"-",IF(D25=8,"Е",IF(D25=9,"-",IF(D25=10,"-",IF(D25=11,"ИИЕФФ",IF(D25=12,"-",IF(D25=13,"ЕФФФ",IF(D25=14,"ЕФФ",IF(D25="*","ОЕ","")))))))))))))))</f>
        <v/>
      </c>
      <c r="O25" s="203" t="str">
        <f>IF(E25=1,"ЦПМ",IF(E25=2,"ЭЭ",IF(E25=3,"ДЕ",IF(E25=4,"Е",IF(E25=5,"-",IF(E25=6,"ЦЛ",IF(E25=7,"-",IF(E25=8,"Е",IF(E25=9,"-",IF(E25=10,"-",IF(E25=11,"ИИЕФФ",IF(E25=12,"-",IF(E25=13,"ЕФФФ",IF(E25=14,"ЕФФ",IF(E25="*","ОЕ","")))))))))))))))</f>
        <v/>
      </c>
      <c r="P25" s="202" t="str">
        <f>IF(F25=1,"-",IF(F25=2,"-",IF(F25=3,"-",IF(F25=4,"-",IF(F25=5,"-",IF(F25=6,"-",IF(F25=7,"-",IF(F25=8,"-",IF(F25=9,"И",IF(F25=10,"-",IF(F25=11,"-",IF(F25=12,"И",IF(F25=13,"-",IF(F25=14,"-",IF(F25="*","О","")))))))))))))))</f>
        <v/>
      </c>
      <c r="Q25" s="30" t="str">
        <f>IF(G25=1,"-",IF(G25=2,"-",IF(G25=3,"-",IF(G25=4,"-",IF(G25=5,"-",IF(G25=6,"-",IF(G25=7,"-",IF(G25=8,"-",IF(G25=9,"И",IF(G25=10,"-",IF(G25=11,"-",IF(G25=12,"И",IF(G25=13,"-",IF(G25=14,"-",IF(G25="*","О","")))))))))))))))</f>
        <v/>
      </c>
      <c r="R25" s="203" t="str">
        <f>IF(H25=1,"-",IF(H25=2,"-",IF(H25=3,"-",IF(H25=4,"-",IF(H25=5,"-",IF(H25=6,"-",IF(H25=7,"-",IF(H25=8,"-",IF(H25=9,"И",IF(H25=10,"-",IF(H25=11,"-",IF(H25=12,"И",IF(H25=13,"-",IF(H25=14,"-",IF(H25="*","О","")))))))))))))))</f>
        <v/>
      </c>
      <c r="T25" s="32"/>
      <c r="U25" s="431" t="s">
        <v>211</v>
      </c>
      <c r="V25" s="432"/>
      <c r="W25" s="432"/>
      <c r="X25" s="432"/>
      <c r="Y25" s="432"/>
      <c r="Z25" s="432"/>
      <c r="AA25" s="432"/>
      <c r="AB25" s="432"/>
      <c r="AC25" s="432"/>
      <c r="AD25" s="432"/>
      <c r="AE25" s="432"/>
      <c r="AF25" s="432"/>
      <c r="AG25" s="432"/>
      <c r="AH25" s="432"/>
      <c r="AI25" s="432"/>
      <c r="AJ25" s="432"/>
      <c r="AK25" s="432"/>
      <c r="AL25" s="432"/>
      <c r="AM25" s="432"/>
      <c r="AN25" s="433"/>
    </row>
    <row r="26" spans="1:121" ht="20.100000000000001" customHeight="1" thickBot="1" x14ac:dyDescent="0.35">
      <c r="A26" s="22">
        <v>22</v>
      </c>
      <c r="B26" s="119" t="s">
        <v>470</v>
      </c>
      <c r="C26" s="308"/>
      <c r="D26" s="309"/>
      <c r="E26" s="308"/>
      <c r="F26" s="308"/>
      <c r="G26" s="308"/>
      <c r="H26" s="310"/>
      <c r="I26" s="592"/>
      <c r="J26" s="8"/>
      <c r="K26" s="66"/>
      <c r="L26" s="211">
        <v>22</v>
      </c>
      <c r="M26" s="202" t="str">
        <f>IF(C26=1,"Е",IF(C26=2,"ГГЕ",IF(C26=3,"-",IF(C26=4,"d",IF(C26=5,"Е",IF(C26=6,"-",IF(C26=7,"Е",IF(C26=8,"-",IF(C26=9,"-",IF(C26=10,"d",IF(C26=11,"ЛФ",IF(C26=12,"-",IF(C26="*","ОЕ","")))))))))))))</f>
        <v/>
      </c>
      <c r="N26" s="30" t="str">
        <f>IF(D26=1,"Е",IF(D26=2,"ГГЕ",IF(D26=3,"-",IF(D26=4,"d",IF(D26=5,"Е",IF(D26=6,"-",IF(D26=7,"Е",IF(D26=8,"-",IF(D26=9,"-",IF(D26=10,"d",IF(D26=11,"ЛФ",IF(D26=12,"-",IF(D26="*","ОЕ","")))))))))))))</f>
        <v/>
      </c>
      <c r="O26" s="203" t="str">
        <f>IF(E26=1,"Е",IF(E26=2,"ГГЕ",IF(E26=3,"-",IF(E26=4,"d",IF(E26=5,"Е",IF(E26=6,"-",IF(E26=7,"Е",IF(E26=8,"-",IF(E26=9,"-",IF(E26=10,"d",IF(E26=11,"ЛФ",IF(E26=12,"-",IF(E26="*","ОЕ","")))))))))))))</f>
        <v/>
      </c>
      <c r="P26" s="202" t="str">
        <f>IF(F26=1,"К",IF(F26=2,"С",IF(F26=3,"-",IF(F26=4,"Г",IF(F26=5,"Л",IF(F26=6,"-",IF(F26=7,"Ц",IF(F26=8,"ddd",IF(F26=9,"И",IF(F26=10,"-",IF(F26=11,"-",IF(F26=12,"-",IF(F26="*","О","")))))))))))))</f>
        <v/>
      </c>
      <c r="Q26" s="30" t="str">
        <f>IF(G26=1,"К",IF(G26=2,"С",IF(G26=3,"-",IF(G26=4,"Г",IF(G26=5,"Л",IF(G26=6,"-",IF(G26=7,"Ц",IF(G26=8,"ddd",IF(G26=9,"И",IF(G26=10,"-",IF(G26=11,"-",IF(G26=12,"-",IF(G26="*","О","")))))))))))))</f>
        <v/>
      </c>
      <c r="R26" s="203" t="str">
        <f>IF(H26=1,"К",IF(H26=2,"С",IF(H26=3,"-",IF(H26=4,"Г",IF(H26=5,"Л",IF(H26=6,"-",IF(H26=7,"Ц",IF(H26=8,"ddd",IF(H26=9,"И",IF(H26=10,"-",IF(H26=11,"-",IF(H26=12,"-",IF(H26="*","О","")))))))))))))</f>
        <v/>
      </c>
      <c r="T26" s="26"/>
      <c r="U26" s="7"/>
      <c r="V26" s="85">
        <f>правила!C25</f>
        <v>0</v>
      </c>
      <c r="W26" s="85" t="str">
        <f>правила!D25</f>
        <v>0</v>
      </c>
      <c r="X26" s="85">
        <f>правила!E25</f>
        <v>0</v>
      </c>
      <c r="Y26" s="85">
        <f>правила!F25</f>
        <v>0</v>
      </c>
      <c r="Z26" s="85">
        <f>правила!G25</f>
        <v>1</v>
      </c>
      <c r="AA26" s="85">
        <f>правила!H25</f>
        <v>2</v>
      </c>
      <c r="AB26" s="85">
        <f>правила!I25</f>
        <v>2</v>
      </c>
      <c r="AC26" s="85">
        <f>правила!J25</f>
        <v>1</v>
      </c>
      <c r="AD26" s="85">
        <f>правила!K25</f>
        <v>1</v>
      </c>
      <c r="AE26" s="85">
        <f>правила!L25</f>
        <v>1</v>
      </c>
      <c r="AF26" s="85">
        <f>правила!M25</f>
        <v>0</v>
      </c>
      <c r="AG26" s="85">
        <f>правила!N25</f>
        <v>0</v>
      </c>
      <c r="AH26" s="85">
        <f>правила!O25</f>
        <v>0</v>
      </c>
      <c r="AI26" s="85">
        <f>правила!P25</f>
        <v>0</v>
      </c>
      <c r="AJ26" s="85">
        <f>правила!Q25</f>
        <v>0</v>
      </c>
      <c r="AK26" s="85">
        <f>правила!R25</f>
        <v>0</v>
      </c>
      <c r="AL26" s="85">
        <f>правила!S25</f>
        <v>0</v>
      </c>
      <c r="AM26" s="85">
        <f>правила!T25</f>
        <v>0</v>
      </c>
      <c r="AN26" s="85">
        <f>правила!U25</f>
        <v>0</v>
      </c>
    </row>
    <row r="27" spans="1:121" ht="20.100000000000001" customHeight="1" thickBot="1" x14ac:dyDescent="0.3">
      <c r="A27" s="22">
        <v>23</v>
      </c>
      <c r="B27" s="119" t="s">
        <v>471</v>
      </c>
      <c r="C27" s="114"/>
      <c r="D27" s="115"/>
      <c r="E27" s="114"/>
      <c r="F27" s="114"/>
      <c r="G27" s="114"/>
      <c r="H27" s="116"/>
      <c r="I27" s="592"/>
      <c r="J27" s="8"/>
      <c r="K27" s="66"/>
      <c r="L27" s="212">
        <v>23</v>
      </c>
      <c r="M27" s="202" t="str">
        <f>IF(C27=1,"-",IF(C27=2,"Г",IF(C27=3,"-",IF(C27=4,"Д",IF(C27=5,"-",IF(C27=6,"-",IF(C27=7,"Г",IF(C27=8,"СС",IF(C27=9,"-",IF(C27=10,"Л",IF(C27=11,"-",IF(C27=12,"-",IF(C27=13,"И",IF(C27=14,"ЭЭ",IF(C27=15,"-",IF(C27="*","О",""))))))))))))))))</f>
        <v/>
      </c>
      <c r="N27" s="30" t="str">
        <f>IF(D27=1,"-",IF(D27=2,"Г",IF(D27=3,"-",IF(D27=4,"Д",IF(D27=5,"-",IF(D27=6,"-",IF(D27=7,"Г",IF(D27=8,"СС",IF(D27=9,"-",IF(D27=10,"Л",IF(D27=11,"-",IF(D27=12,"-",IF(D27=13,"И",IF(D27=14,"ЭЭ",IF(D27=15,"-",IF(D27="*","О",""))))))))))))))))</f>
        <v/>
      </c>
      <c r="O27" s="203" t="str">
        <f>IF(E27=1,"-",IF(E27=2,"Г",IF(E27=3,"-",IF(E27=4,"Д",IF(E27=5,"-",IF(E27=6,"-",IF(E27=7,"Г",IF(E27=8,"СС",IF(E27=9,"-",IF(E27=10,"Л",IF(E27=11,"-",IF(E27=12,"-",IF(E27=13,"И",IF(E27=14,"ЭЭ",IF(E27=15,"-",IF(E27="*","О",""))))))))))))))))</f>
        <v/>
      </c>
      <c r="P27" s="202" t="str">
        <f>IF(F27=1,"-",IF(F27=2,"-",IF(F27=3,"-",IF(F27=4,"Ц",IF(F27=5,"-",IF(F27=6,"-",IF(F27=7,"С",IF(F27=8,"-",IF(F27=9,"-",IF(F27=10,"-",IF(F27=11,"ИИ",IF(F27=12,"Л",IF(F27=13,"-",IF(F27=14,"Л",IF(F27=15,"-",IF(F27="*","О",""))))))))))))))))</f>
        <v/>
      </c>
      <c r="Q27" s="30" t="str">
        <f>IF(G27=1,"-",IF(G27=2,"-",IF(G27=3,"-",IF(G27=4,"Ц",IF(G27=5,"-",IF(G27=6,"-",IF(G27=7,"С",IF(G27=8,"-",IF(G27=9,"-",IF(G27=10,"-",IF(G27=11,"ИИ",IF(G27=12,"Л",IF(G27=13,"-",IF(G27=14,"Л",IF(G27=15,"-",IF(G27="*","О",""))))))))))))))))</f>
        <v/>
      </c>
      <c r="R27" s="203" t="str">
        <f>IF(H27=1,"-",IF(H27=2,"-",IF(H27=3,"-",IF(H27=4,"Ц",IF(H27=5,"-",IF(H27=6,"-",IF(H27=7,"С",IF(H27=8,"-",IF(H27=9,"-",IF(H27=10,"-",IF(H27=11,"ИИ",IF(H27=12,"Л",IF(H27=13,"-",IF(H27=14,"Л",IF(H27=15,"-",IF(H27="*","О",""))))))))))))))))</f>
        <v/>
      </c>
      <c r="T27" s="24"/>
      <c r="U27" s="24"/>
      <c r="V27" s="28"/>
      <c r="W27" s="24"/>
      <c r="X27" s="24"/>
      <c r="Y27" s="24"/>
      <c r="Z27" s="4"/>
      <c r="AA27" s="4"/>
      <c r="AB27" s="24"/>
      <c r="AC27" s="4"/>
      <c r="AD27" s="24"/>
      <c r="AE27" s="25"/>
      <c r="AF27" s="4"/>
      <c r="AG27" s="4"/>
      <c r="AH27" s="11"/>
      <c r="AI27" s="11"/>
    </row>
    <row r="28" spans="1:121" ht="20.100000000000001" customHeight="1" thickBot="1" x14ac:dyDescent="0.3">
      <c r="A28" s="22">
        <v>24</v>
      </c>
      <c r="B28" s="119" t="s">
        <v>472</v>
      </c>
      <c r="C28" s="308"/>
      <c r="D28" s="309"/>
      <c r="E28" s="308"/>
      <c r="F28" s="308"/>
      <c r="G28" s="308"/>
      <c r="H28" s="310"/>
      <c r="I28" s="592"/>
      <c r="J28" s="8"/>
      <c r="K28" s="8"/>
      <c r="L28" s="211">
        <v>24</v>
      </c>
      <c r="M28" s="202" t="str">
        <f>IF(C28=1,"ГЭИНН",IF(C28=2,"Э",IF(C28=3,"Ц",IF(C28=4,"Ф",IF(C28=5,"-",IF(C28=6,"d",IF(C28=7,"-",IF(C28=8,"-",IF(C28=9,"-",IF(C28=10,"-",IF(C28=11,"-",IF(C28=12,"-",IF(C28=13,"Ц",IF(C28="*","О",""))))))))))))))</f>
        <v/>
      </c>
      <c r="N28" s="30" t="str">
        <f>IF(D28=1,"ГЭИНН",IF(D28=2,"Э",IF(D28=3,"Ц",IF(D28=4,"Ф",IF(D28=5,"-",IF(D28=6,"d",IF(D28=7,"-",IF(D28=8,"-",IF(D28=9,"-",IF(D28=10,"-",IF(D28=11,"-",IF(D28=12,"-",IF(D28=13,"Ц",IF(D28="*","О",""))))))))))))))</f>
        <v/>
      </c>
      <c r="O28" s="203" t="str">
        <f>IF(E28=1,"ГЭИНН",IF(E28=2,"Э",IF(E28=3,"Ц",IF(E28=4,"Ф",IF(E28=5,"-",IF(E28=6,"d",IF(E28=7,"-",IF(E28=8,"-",IF(E28=9,"-",IF(E28=10,"-",IF(E28=11,"-",IF(E28=12,"-",IF(E28=13,"Ц",IF(E28="*","О",""))))))))))))))</f>
        <v/>
      </c>
      <c r="P28" s="202" t="str">
        <f>IF(F28=1,"-",IF(F28=2,"ЭЭН",IF(F28=3,"-",IF(F28=4,"-",IF(F28=5,"-",IF(F28=6,"-",IF(F28=7,"-",IF(F28=8,"-",IF(F28=9,"И",IF(F28=10,"-",IF(F28=11,"ШШdd",IF(F28=12,"-",IF(F28=13,"d",IF(F28="*","О",""))))))))))))))</f>
        <v/>
      </c>
      <c r="Q28" s="30" t="str">
        <f>IF(G28=1,"-",IF(G28=2,"ЭЭН",IF(G28=3,"-",IF(G28=4,"-",IF(G28=5,"-",IF(G28=6,"-",IF(G28=7,"-",IF(G28=8,"-",IF(G28=9,"И",IF(G28=10,"-",IF(G28=11,"ШШdd",IF(G28=12,"-",IF(G28=13,"d",IF(G28="*","О",""))))))))))))))</f>
        <v/>
      </c>
      <c r="R28" s="203" t="str">
        <f>IF(H28=1,"-",IF(H28=2,"ЭЭН",IF(H28=3,"-",IF(H28=4,"-",IF(H28=5,"-",IF(H28=6,"-",IF(H28=7,"-",IF(H28=8,"-",IF(H28=9,"И",IF(H28=10,"-",IF(H28=11,"ШШdd",IF(H28=12,"-",IF(H28=13,"d",IF(H28="*","О",""))))))))))))))</f>
        <v/>
      </c>
      <c r="T28" s="226" t="s">
        <v>374</v>
      </c>
      <c r="U28" s="7"/>
      <c r="V28" s="233">
        <f>SUM(V23+V26)</f>
        <v>0</v>
      </c>
      <c r="W28" s="233">
        <f t="shared" ref="W28:AN28" si="5">SUM(W23+W26)</f>
        <v>0</v>
      </c>
      <c r="X28" s="233">
        <f t="shared" si="5"/>
        <v>0</v>
      </c>
      <c r="Y28" s="233">
        <f t="shared" si="5"/>
        <v>0</v>
      </c>
      <c r="Z28" s="233">
        <f t="shared" si="5"/>
        <v>1</v>
      </c>
      <c r="AA28" s="233">
        <f t="shared" si="5"/>
        <v>2</v>
      </c>
      <c r="AB28" s="233">
        <f t="shared" si="5"/>
        <v>2</v>
      </c>
      <c r="AC28" s="233">
        <f t="shared" si="5"/>
        <v>1</v>
      </c>
      <c r="AD28" s="233">
        <f t="shared" si="5"/>
        <v>1</v>
      </c>
      <c r="AE28" s="233">
        <f t="shared" si="5"/>
        <v>1</v>
      </c>
      <c r="AF28" s="233">
        <f t="shared" si="5"/>
        <v>0</v>
      </c>
      <c r="AG28" s="233">
        <f t="shared" si="5"/>
        <v>0</v>
      </c>
      <c r="AH28" s="233">
        <f t="shared" si="5"/>
        <v>0</v>
      </c>
      <c r="AI28" s="233">
        <f t="shared" si="5"/>
        <v>0</v>
      </c>
      <c r="AJ28" s="233">
        <f t="shared" si="5"/>
        <v>0</v>
      </c>
      <c r="AK28" s="233">
        <f t="shared" si="5"/>
        <v>0</v>
      </c>
      <c r="AL28" s="233">
        <f t="shared" si="5"/>
        <v>0</v>
      </c>
      <c r="AM28" s="233">
        <f t="shared" si="5"/>
        <v>0</v>
      </c>
      <c r="AN28" s="233">
        <f t="shared" si="5"/>
        <v>0</v>
      </c>
    </row>
    <row r="29" spans="1:121" ht="20.100000000000001" customHeight="1" thickBot="1" x14ac:dyDescent="0.3">
      <c r="A29" s="22">
        <v>25</v>
      </c>
      <c r="B29" s="119" t="s">
        <v>473</v>
      </c>
      <c r="C29" s="114"/>
      <c r="D29" s="115"/>
      <c r="E29" s="114"/>
      <c r="F29" s="114"/>
      <c r="G29" s="114"/>
      <c r="H29" s="116"/>
      <c r="I29" s="593"/>
      <c r="J29" s="8"/>
      <c r="K29" s="8"/>
      <c r="L29" s="213">
        <v>25</v>
      </c>
      <c r="M29" s="204" t="str">
        <f>IF(C29=1,"М",IF(C29=2,"ТТ",IF(C29=3,"А",IF(C29=4,"-",IF(C29=5,"-",IF(C29=6,"-",IF(C29=7,"-",IF(C29=8,"ЭИ",IF(C29=9,"-",IF(C29=10,"-",IF(C29=11,"d",IF(C29=12,"ШИ",IF(C29=13,"С",IF(C29="*","О",""))))))))))))))</f>
        <v/>
      </c>
      <c r="N29" s="205" t="str">
        <f>IF(D29=1,"М",IF(D29=2,"ТТ",IF(D29=3,"А",IF(D29=4,"-",IF(D29=5,"-",IF(D29=6,"-",IF(D29=7,"-",IF(D29=8,"ЭИ",IF(D29=9,"-",IF(D29=10,"-",IF(D29=11,"d",IF(D29=12,"ШИ",IF(D29=13,"С",IF(D29="*","О",""))))))))))))))</f>
        <v/>
      </c>
      <c r="O29" s="206" t="str">
        <f>IF(E29=1,"М",IF(E29=2,"ТТ",IF(E29=3,"А",IF(E29=4,"-",IF(E29=5,"-",IF(E29=6,"-",IF(E29=7,"-",IF(E29=8,"ЭИ",IF(E29=9,"-",IF(E29=10,"-",IF(E29=11,"d",IF(E29=12,"ШИ",IF(E29=13,"С",IF(E29="*","О",""))))))))))))))</f>
        <v/>
      </c>
      <c r="P29" s="204" t="str">
        <f>IF(F29=1,"Г",IF(F29=2,"-",IF(F29=3,"-",IF(F29=4,"-",IF(F29=5,"-",IF(F29=6,"ПП",IF(F29=7,"-",IF(F29=8,"А",IF(F29=9,"-",IF(F29=10,"М",IF(F29=11,"-",IF(F29=12,"-",IF(F29=13,"М",IF(F29="*","О",""))))))))))))))</f>
        <v/>
      </c>
      <c r="Q29" s="205" t="str">
        <f>IF(G29=1,"Г",IF(G29=2,"-",IF(G29=3,"-",IF(G29=4,"-",IF(G29=5,"-",IF(G29=6,"ПП",IF(G29=7,"-",IF(G29=8,"А",IF(G29=9,"-",IF(G29=10,"М",IF(G29=11,"-",IF(G29=12,"-",IF(G29=13,"М",IF(G29="*","О",""))))))))))))))</f>
        <v/>
      </c>
      <c r="R29" s="206" t="str">
        <f>IF(H29=1,"Г",IF(H29=2,"-",IF(H29=3,"-",IF(H29=4,"-",IF(H29=5,"-",IF(H29=6,"ПП",IF(H29=7,"-",IF(H29=8,"А",IF(H29=9,"-",IF(H29=10,"М",IF(H29=11,"-",IF(H29=12,"-",IF(H29=13,"М",IF(H29="*","О",""))))))))))))))</f>
        <v/>
      </c>
      <c r="T29" s="298" t="s">
        <v>374</v>
      </c>
      <c r="U29" s="299"/>
      <c r="V29" s="300">
        <f>SUM(V25,V28)</f>
        <v>0</v>
      </c>
      <c r="W29" s="300">
        <f t="shared" ref="W29:AN29" si="6">SUM(W25,W28)</f>
        <v>0</v>
      </c>
      <c r="X29" s="300">
        <f t="shared" si="6"/>
        <v>0</v>
      </c>
      <c r="Y29" s="300">
        <f t="shared" si="6"/>
        <v>0</v>
      </c>
      <c r="Z29" s="300">
        <f t="shared" si="6"/>
        <v>1</v>
      </c>
      <c r="AA29" s="300">
        <f t="shared" si="6"/>
        <v>2</v>
      </c>
      <c r="AB29" s="300">
        <f t="shared" si="6"/>
        <v>2</v>
      </c>
      <c r="AC29" s="300">
        <f t="shared" si="6"/>
        <v>1</v>
      </c>
      <c r="AD29" s="300">
        <f t="shared" si="6"/>
        <v>1</v>
      </c>
      <c r="AE29" s="300">
        <f t="shared" si="6"/>
        <v>1</v>
      </c>
      <c r="AF29" s="300">
        <f t="shared" si="6"/>
        <v>0</v>
      </c>
      <c r="AG29" s="300">
        <f t="shared" si="6"/>
        <v>0</v>
      </c>
      <c r="AH29" s="300">
        <f t="shared" si="6"/>
        <v>0</v>
      </c>
      <c r="AI29" s="300">
        <f t="shared" si="6"/>
        <v>0</v>
      </c>
      <c r="AJ29" s="300">
        <f t="shared" si="6"/>
        <v>0</v>
      </c>
      <c r="AK29" s="300">
        <f t="shared" si="6"/>
        <v>0</v>
      </c>
      <c r="AL29" s="300">
        <f t="shared" si="6"/>
        <v>0</v>
      </c>
      <c r="AM29" s="300">
        <f t="shared" si="6"/>
        <v>0</v>
      </c>
      <c r="AN29" s="300">
        <f t="shared" si="6"/>
        <v>0</v>
      </c>
      <c r="AO29" s="301">
        <f>MAX(V29:AN29)</f>
        <v>2</v>
      </c>
    </row>
    <row r="30" spans="1:121" ht="15.75" thickBot="1" x14ac:dyDescent="0.25">
      <c r="A30" s="104"/>
      <c r="B30" s="104"/>
      <c r="C30" s="104"/>
      <c r="D30" s="104"/>
      <c r="E30" s="104"/>
      <c r="F30" s="104"/>
      <c r="G30" s="104"/>
      <c r="H30" s="104"/>
      <c r="I30" s="104"/>
      <c r="J30" s="104"/>
      <c r="T30" s="302" t="s">
        <v>116</v>
      </c>
      <c r="U30" s="7"/>
      <c r="V30" s="233" t="str">
        <f>IF(V29&gt;=7,V29,"")</f>
        <v/>
      </c>
      <c r="W30" s="296" t="str">
        <f>IF(W29&gt;=6,W29,"")</f>
        <v/>
      </c>
      <c r="X30" s="296" t="str">
        <f>IF(X29&gt;=6,X29,"")</f>
        <v/>
      </c>
      <c r="Y30" s="7" t="str">
        <f>IF(Y29&gt;=5,Y29,"")</f>
        <v/>
      </c>
      <c r="Z30" s="296" t="str">
        <f>IF(Z29&gt;=6,Z29,"")</f>
        <v/>
      </c>
      <c r="AA30" s="296" t="str">
        <f t="shared" ref="AA30:AF30" si="7">IF(AA29&gt;=6,AA29,"")</f>
        <v/>
      </c>
      <c r="AB30" s="296" t="str">
        <f t="shared" si="7"/>
        <v/>
      </c>
      <c r="AC30" s="296" t="str">
        <f t="shared" si="7"/>
        <v/>
      </c>
      <c r="AD30" s="296" t="str">
        <f t="shared" si="7"/>
        <v/>
      </c>
      <c r="AE30" s="296" t="str">
        <f t="shared" si="7"/>
        <v/>
      </c>
      <c r="AF30" s="296" t="str">
        <f t="shared" si="7"/>
        <v/>
      </c>
      <c r="AG30" s="296"/>
      <c r="AH30" s="303"/>
      <c r="AI30" s="303"/>
      <c r="AJ30" s="5"/>
      <c r="AK30" s="5"/>
      <c r="AL30" s="5"/>
      <c r="AM30" s="5"/>
      <c r="AN30" s="5"/>
      <c r="AO30" s="306">
        <f>MAX(V30:AN30)</f>
        <v>0</v>
      </c>
      <c r="AP30" s="8"/>
      <c r="AQ30" s="8"/>
    </row>
    <row r="31" spans="1:121" ht="15.75" customHeight="1" thickBot="1" x14ac:dyDescent="0.3">
      <c r="A31" s="434" t="s">
        <v>213</v>
      </c>
      <c r="B31" s="435"/>
      <c r="C31" s="112">
        <v>1</v>
      </c>
      <c r="D31" s="421" t="str">
        <f>IF(AM23&gt;AN23,"мужественность","женственность")</f>
        <v>женственность</v>
      </c>
      <c r="E31" s="422"/>
      <c r="F31" s="423"/>
      <c r="G31" s="314" t="str">
        <f>IF(C31=1,"муж.",IF(C31=2,"жен.",""))</f>
        <v>муж.</v>
      </c>
      <c r="T31" s="9"/>
      <c r="U31" s="304"/>
      <c r="V31" s="30" t="str">
        <f>IF(V30=AO30,V22,"")</f>
        <v/>
      </c>
      <c r="W31" s="304" t="str">
        <f>IF(W30=AO30,W22,"")</f>
        <v/>
      </c>
      <c r="X31" s="304" t="str">
        <f>IF(X30=AO30,X22,"")</f>
        <v/>
      </c>
      <c r="Y31" s="304" t="str">
        <f>IF(Y30=AO30,Y22,"")</f>
        <v/>
      </c>
      <c r="Z31" s="304" t="str">
        <f>IF(Z30=AO30,Z22,"")</f>
        <v/>
      </c>
      <c r="AA31" s="294" t="str">
        <f>IF(AA30=AO30,AA22,"")</f>
        <v/>
      </c>
      <c r="AB31" s="304" t="str">
        <f>IF(AB30=AO30,AB22,"")</f>
        <v/>
      </c>
      <c r="AC31" s="304" t="str">
        <f>IF(AC30=AO30,AC22,"")</f>
        <v/>
      </c>
      <c r="AD31" s="304" t="str">
        <f>IF(AD30=AO30,AD22,"")</f>
        <v/>
      </c>
      <c r="AE31" s="305" t="str">
        <f>IF(AE30=AO30,AE22,"")</f>
        <v/>
      </c>
      <c r="AF31" s="305" t="str">
        <f>IF(AF30=AO30,AF22,"")</f>
        <v/>
      </c>
      <c r="AG31" s="304"/>
      <c r="AH31" s="71"/>
      <c r="AI31" s="71"/>
      <c r="AJ31" s="71"/>
      <c r="AK31" s="71"/>
      <c r="AL31" s="71"/>
      <c r="AM31" s="71"/>
      <c r="AN31" s="197"/>
      <c r="AO31" s="448" t="str">
        <f>IF(V31=V22,Y34,IF(W31=W22,Y35,IF(X31=X22,Y36,IF(Y31=Y22,Y37,IF(Z31=Z22,Y38,IF(AA31=AA22,Y39,IF(AB31=AB22,Y40,IF(AC31=AC22,Y41,IF(AE31=AE22,Y42,IF(AF31=AF22,Y43,IF(AD31=AD22,Y44,"")))))))))))</f>
        <v/>
      </c>
      <c r="AP31" s="449"/>
      <c r="AQ31" s="450"/>
    </row>
    <row r="32" spans="1:121" ht="15.75" thickBot="1" x14ac:dyDescent="0.25">
      <c r="A32" s="436" t="s">
        <v>210</v>
      </c>
      <c r="B32" s="437"/>
      <c r="C32" s="437"/>
      <c r="D32" s="437"/>
      <c r="E32" s="437"/>
      <c r="F32" s="437"/>
      <c r="G32" s="437"/>
      <c r="H32" s="437"/>
      <c r="I32" s="437"/>
      <c r="J32" s="113">
        <v>1</v>
      </c>
      <c r="K32" s="82"/>
      <c r="T32" s="9"/>
      <c r="U32" s="11"/>
      <c r="V32" s="23" t="str">
        <f>V31</f>
        <v/>
      </c>
      <c r="W32" s="23" t="str">
        <f t="shared" ref="W32:AF32" si="8">W31</f>
        <v/>
      </c>
      <c r="X32" s="23" t="str">
        <f t="shared" si="8"/>
        <v/>
      </c>
      <c r="Y32" s="23" t="str">
        <f t="shared" si="8"/>
        <v/>
      </c>
      <c r="Z32" s="23" t="str">
        <f t="shared" si="8"/>
        <v/>
      </c>
      <c r="AA32" s="23" t="str">
        <f t="shared" si="8"/>
        <v/>
      </c>
      <c r="AB32" s="23" t="str">
        <f t="shared" si="8"/>
        <v/>
      </c>
      <c r="AC32" s="23" t="str">
        <f t="shared" si="8"/>
        <v/>
      </c>
      <c r="AD32" s="23" t="str">
        <f t="shared" si="8"/>
        <v/>
      </c>
      <c r="AE32" s="23" t="str">
        <f t="shared" si="8"/>
        <v/>
      </c>
      <c r="AF32" s="23" t="str">
        <f t="shared" si="8"/>
        <v/>
      </c>
      <c r="AG32" s="32"/>
      <c r="AH32" s="29"/>
      <c r="AI32" s="29"/>
      <c r="AJ32" s="29"/>
      <c r="AK32" s="29"/>
      <c r="AL32" s="29"/>
      <c r="AM32" s="29"/>
      <c r="AN32" s="29"/>
      <c r="AO32" s="453" t="s">
        <v>489</v>
      </c>
      <c r="AP32" s="439"/>
      <c r="AQ32" s="439"/>
      <c r="AR32" s="307">
        <f>COUNTIF(V32:AF32,"?")</f>
        <v>0</v>
      </c>
    </row>
    <row r="33" spans="1:43" ht="16.5" thickBot="1" x14ac:dyDescent="0.3">
      <c r="A33" s="377" t="s">
        <v>341</v>
      </c>
      <c r="B33" s="424"/>
      <c r="C33" s="102">
        <f>U23</f>
        <v>0</v>
      </c>
      <c r="D33" s="425" t="str">
        <f>IF(C33&gt;6,"негативное","нормальное")</f>
        <v>нормальное</v>
      </c>
      <c r="E33" s="426"/>
      <c r="F33" s="427"/>
      <c r="G33" s="98"/>
      <c r="H33" s="98"/>
      <c r="I33" s="98"/>
      <c r="J33" s="97"/>
      <c r="K33" s="82"/>
      <c r="T33" s="9"/>
      <c r="U33" s="11"/>
      <c r="V33" s="29"/>
      <c r="W33" s="11"/>
      <c r="X33" s="11"/>
      <c r="Y33" s="11"/>
      <c r="Z33" s="11"/>
      <c r="AA33" s="9"/>
      <c r="AB33" s="11"/>
      <c r="AC33" s="11"/>
      <c r="AD33" s="11"/>
      <c r="AE33" s="9"/>
      <c r="AF33" s="9"/>
      <c r="AG33" s="11"/>
      <c r="AO33" s="439" t="str">
        <f>IF(AR32=0,AO32,IF(AR32=1,AO31,IF(AR32&gt;1,AO32,)))</f>
        <v>Смотри лист "правила 0-8"</v>
      </c>
      <c r="AP33" s="439"/>
      <c r="AQ33" s="439"/>
    </row>
    <row r="34" spans="1:43" ht="16.5" thickBot="1" x14ac:dyDescent="0.3">
      <c r="A34" s="384" t="s">
        <v>257</v>
      </c>
      <c r="B34" s="385"/>
      <c r="C34" s="94">
        <f>DQ18</f>
        <v>0</v>
      </c>
      <c r="D34" s="418" t="str">
        <f>DG18</f>
        <v>склоность не определена</v>
      </c>
      <c r="E34" s="419"/>
      <c r="F34" s="420"/>
      <c r="T34" s="9"/>
      <c r="U34" s="11"/>
      <c r="V34" s="29"/>
      <c r="W34" s="11"/>
      <c r="X34" s="11"/>
      <c r="Y34" s="451" t="s">
        <v>97</v>
      </c>
      <c r="Z34" s="451"/>
      <c r="AA34" s="451"/>
      <c r="AB34" s="325" t="s">
        <v>511</v>
      </c>
      <c r="AC34" s="330" t="str">
        <f>IF(AR32&gt;1,"0",IF(V31=V22,AB34,IF(W31=W22,AB35,IF(X31=X22,AB36,IF(Y31=Y22,AB37,IF(Z31=Z22,AB38,IF(AA31=AA22,AB39,IF(AB31=AB22,AB40,IF(AC31=AC22,AB41,IF(AE31=AE22,AB42,IF(AF31=AF22,AB43,IF(AD31=AD22,AB44,""))))))))))))</f>
        <v/>
      </c>
      <c r="AD34" s="11"/>
      <c r="AE34" s="9"/>
      <c r="AF34" s="9"/>
      <c r="AG34" s="11"/>
    </row>
    <row r="35" spans="1:43" ht="15" customHeight="1" thickBot="1" x14ac:dyDescent="0.3">
      <c r="A35" s="384" t="s">
        <v>209</v>
      </c>
      <c r="B35" s="385"/>
      <c r="C35" s="121">
        <f>AF23</f>
        <v>0</v>
      </c>
      <c r="D35" s="418" t="str">
        <f>IF(C35=0,"низкая",IF(C35=1,"низкая",IF(C35=2,"умеренная",IF(C35=3,"умеренная",IF(C35=4,"средняя",IF(C35=5,"средняя",IF(C35=6,"высокая",IF(C35&gt;6,"высокая"))))))))</f>
        <v>низкая</v>
      </c>
      <c r="E35" s="428"/>
      <c r="F35" s="429"/>
      <c r="G35" s="8"/>
      <c r="H35" s="8"/>
      <c r="I35" s="8"/>
      <c r="Y35" s="451" t="s">
        <v>98</v>
      </c>
      <c r="Z35" s="451"/>
      <c r="AA35" s="451"/>
      <c r="AB35" s="325" t="s">
        <v>512</v>
      </c>
    </row>
    <row r="36" spans="1:43" ht="16.5" thickBot="1" x14ac:dyDescent="0.3">
      <c r="A36" s="384" t="s">
        <v>267</v>
      </c>
      <c r="B36" s="417"/>
      <c r="C36" s="417"/>
      <c r="D36" s="417"/>
      <c r="E36" s="457" t="str">
        <f>CO19</f>
        <v>умеренный риск</v>
      </c>
      <c r="F36" s="458"/>
      <c r="G36" s="458"/>
      <c r="H36" s="458"/>
      <c r="I36" s="459"/>
      <c r="J36" s="67"/>
      <c r="K36" s="67"/>
      <c r="L36" s="67"/>
      <c r="M36" s="67"/>
      <c r="N36" s="67"/>
      <c r="O36" s="67"/>
      <c r="P36" s="67"/>
      <c r="Q36" s="67"/>
      <c r="R36" s="67"/>
      <c r="S36" s="67"/>
      <c r="T36" s="67"/>
      <c r="U36" s="67"/>
      <c r="Y36" s="451" t="s">
        <v>106</v>
      </c>
      <c r="Z36" s="451"/>
      <c r="AA36" s="451"/>
      <c r="AB36" s="325" t="s">
        <v>513</v>
      </c>
    </row>
    <row r="37" spans="1:43" ht="16.5" thickBot="1" x14ac:dyDescent="0.3">
      <c r="A37" s="384" t="s">
        <v>268</v>
      </c>
      <c r="B37" s="385"/>
      <c r="C37" s="120">
        <f>COUNTBLANK(C5:H29)</f>
        <v>150</v>
      </c>
      <c r="D37" s="105"/>
      <c r="E37" s="106"/>
      <c r="F37" s="106"/>
      <c r="G37" s="106"/>
      <c r="H37" s="106"/>
      <c r="I37" s="106"/>
      <c r="J37" s="67"/>
      <c r="K37" s="67"/>
      <c r="L37" s="67"/>
      <c r="M37" s="67"/>
      <c r="N37" s="67"/>
      <c r="O37" s="67"/>
      <c r="P37" s="67"/>
      <c r="Q37" s="67"/>
      <c r="R37" s="67"/>
      <c r="S37" s="67"/>
      <c r="T37" s="67"/>
      <c r="U37" s="67"/>
      <c r="Y37" s="451" t="s">
        <v>99</v>
      </c>
      <c r="Z37" s="451"/>
      <c r="AA37" s="451"/>
      <c r="AB37" s="325" t="s">
        <v>514</v>
      </c>
    </row>
    <row r="38" spans="1:43" ht="16.5" thickBot="1" x14ac:dyDescent="0.3">
      <c r="A38" s="384" t="s">
        <v>354</v>
      </c>
      <c r="B38" s="385"/>
      <c r="C38" s="120">
        <f>E100</f>
        <v>2</v>
      </c>
      <c r="D38" s="465" t="str">
        <f>F100</f>
        <v>Риск депрессии</v>
      </c>
      <c r="E38" s="466"/>
      <c r="F38" s="466"/>
      <c r="G38" s="467"/>
      <c r="H38" s="106"/>
      <c r="I38" s="106"/>
      <c r="J38" s="67"/>
      <c r="K38" s="67"/>
      <c r="L38" s="67"/>
      <c r="M38" s="67"/>
      <c r="N38" s="67"/>
      <c r="O38" s="67"/>
      <c r="P38" s="67"/>
      <c r="Q38" s="67"/>
      <c r="R38" s="67"/>
      <c r="S38" s="67"/>
      <c r="T38" s="67"/>
      <c r="U38" s="67"/>
      <c r="Y38" s="452" t="s">
        <v>529</v>
      </c>
      <c r="Z38" s="451"/>
      <c r="AA38" s="451"/>
      <c r="AB38" s="325" t="s">
        <v>515</v>
      </c>
    </row>
    <row r="39" spans="1:43" ht="15.75" x14ac:dyDescent="0.25">
      <c r="A39" s="105"/>
      <c r="B39" s="105"/>
      <c r="C39" s="105"/>
      <c r="D39" s="105"/>
      <c r="E39" s="106"/>
      <c r="F39" s="106"/>
      <c r="G39" s="106"/>
      <c r="H39" s="106"/>
      <c r="I39" s="106"/>
      <c r="J39" s="67"/>
      <c r="K39" s="67"/>
      <c r="L39" s="67"/>
      <c r="M39" s="67"/>
      <c r="N39" s="67"/>
      <c r="O39" s="67"/>
      <c r="P39" s="67"/>
      <c r="Q39" s="67"/>
      <c r="R39" s="67"/>
      <c r="S39" s="67"/>
      <c r="T39" s="67"/>
      <c r="U39" s="67"/>
      <c r="Y39" s="451" t="s">
        <v>101</v>
      </c>
      <c r="Z39" s="451"/>
      <c r="AA39" s="451"/>
      <c r="AB39" s="325" t="s">
        <v>516</v>
      </c>
    </row>
    <row r="40" spans="1:43" x14ac:dyDescent="0.2">
      <c r="A40" s="108"/>
      <c r="B40" s="108" t="str">
        <f>диагр!$C$38</f>
        <v>Выбран-0</v>
      </c>
      <c r="C40" s="108" t="str">
        <f>диагр!$D$38</f>
        <v>Г</v>
      </c>
      <c r="D40" s="108" t="str">
        <f>диагр!$E$38</f>
        <v>Ц</v>
      </c>
      <c r="E40" s="108" t="str">
        <f>диагр!$F$38</f>
        <v>Л</v>
      </c>
      <c r="F40" s="108" t="str">
        <f>диагр!$G$38</f>
        <v>А</v>
      </c>
      <c r="G40" s="108" t="str">
        <f>диагр!$H$38</f>
        <v>С</v>
      </c>
      <c r="H40" s="108" t="str">
        <f>диагр!$I$38</f>
        <v>П</v>
      </c>
      <c r="I40" s="108" t="str">
        <f>диагр!$J$38</f>
        <v>Ш</v>
      </c>
      <c r="J40" s="108" t="str">
        <f>диагр!$K$38</f>
        <v>Э</v>
      </c>
      <c r="K40" s="108" t="str">
        <f>диагр!$L$38</f>
        <v>И</v>
      </c>
      <c r="L40" s="108" t="str">
        <f>диагр!$M$38</f>
        <v>Н</v>
      </c>
      <c r="M40" s="108" t="str">
        <f>диагр!$N$38</f>
        <v>К</v>
      </c>
      <c r="N40" s="108" t="str">
        <f>диагр!$O$38</f>
        <v>О</v>
      </c>
      <c r="O40" s="108" t="str">
        <f>диагр!$P$38</f>
        <v>Д</v>
      </c>
      <c r="P40" s="108" t="str">
        <f>диагр!$Q$38</f>
        <v>Т</v>
      </c>
      <c r="Q40" s="108" t="str">
        <f>диагр!$R$38</f>
        <v>В</v>
      </c>
      <c r="R40" s="108" t="str">
        <f>диагр!$S$38</f>
        <v>Е</v>
      </c>
      <c r="S40" s="107" t="str">
        <f>диагр!$T$38</f>
        <v>d</v>
      </c>
      <c r="T40" s="107" t="str">
        <f>диагр!$U$38</f>
        <v>М</v>
      </c>
      <c r="U40" s="107" t="str">
        <f>диагр!$V$38</f>
        <v>Ф</v>
      </c>
      <c r="Y40" s="451" t="s">
        <v>102</v>
      </c>
      <c r="Z40" s="451"/>
      <c r="AA40" s="451"/>
      <c r="AB40" s="325" t="s">
        <v>517</v>
      </c>
    </row>
    <row r="41" spans="1:43" x14ac:dyDescent="0.2">
      <c r="A41" s="108" t="str">
        <f>диагр!$B$39</f>
        <v>Осн. Баллы</v>
      </c>
      <c r="B41" s="108">
        <f>диагр!$C$39</f>
        <v>0</v>
      </c>
      <c r="C41" s="108">
        <f>диагр!$D$39</f>
        <v>0</v>
      </c>
      <c r="D41" s="108">
        <f>диагр!$E$39</f>
        <v>0</v>
      </c>
      <c r="E41" s="107">
        <f>диагр!$F$39</f>
        <v>0</v>
      </c>
      <c r="F41" s="107">
        <f>диагр!$G$39</f>
        <v>0</v>
      </c>
      <c r="G41" s="107">
        <f>диагр!$H$39</f>
        <v>0</v>
      </c>
      <c r="H41" s="107">
        <f>диагр!$I$39</f>
        <v>0</v>
      </c>
      <c r="I41" s="107">
        <f>диагр!$J$39</f>
        <v>0</v>
      </c>
      <c r="J41" s="107">
        <f>диагр!$K$39</f>
        <v>0</v>
      </c>
      <c r="K41" s="107">
        <f>диагр!$L$39</f>
        <v>0</v>
      </c>
      <c r="L41" s="107">
        <f>диагр!$M$39</f>
        <v>0</v>
      </c>
      <c r="M41" s="107">
        <f>диагр!$N$39</f>
        <v>0</v>
      </c>
      <c r="N41" s="107">
        <f>диагр!$O$39</f>
        <v>0</v>
      </c>
      <c r="O41" s="107">
        <f>диагр!$P$39</f>
        <v>0</v>
      </c>
      <c r="P41" s="107">
        <f>диагр!$Q$39</f>
        <v>0</v>
      </c>
      <c r="Q41" s="107">
        <f>диагр!$R$39</f>
        <v>0</v>
      </c>
      <c r="R41" s="107">
        <f>диагр!$S$39</f>
        <v>0</v>
      </c>
      <c r="S41" s="107">
        <f>диагр!$T$39</f>
        <v>0</v>
      </c>
      <c r="T41" s="107">
        <f>диагр!$U$39</f>
        <v>0</v>
      </c>
      <c r="U41" s="107">
        <f>диагр!$V$39</f>
        <v>0</v>
      </c>
      <c r="Y41" s="451" t="s">
        <v>103</v>
      </c>
      <c r="Z41" s="451"/>
      <c r="AA41" s="451"/>
      <c r="AB41" s="325" t="s">
        <v>518</v>
      </c>
      <c r="AK41" s="66"/>
    </row>
    <row r="42" spans="1:43" x14ac:dyDescent="0.2">
      <c r="A42" s="108" t="str">
        <f>диагр!$B$40</f>
        <v>МДЧ</v>
      </c>
      <c r="B42" s="108"/>
      <c r="C42" s="108">
        <f>диагр!$D$40</f>
        <v>7</v>
      </c>
      <c r="D42" s="108">
        <f>диагр!$E$40</f>
        <v>6</v>
      </c>
      <c r="E42" s="107">
        <f>диагр!$F$40</f>
        <v>6</v>
      </c>
      <c r="F42" s="107">
        <f>диагр!$G$40</f>
        <v>5</v>
      </c>
      <c r="G42" s="107">
        <f>диагр!$H$40</f>
        <v>6</v>
      </c>
      <c r="H42" s="107">
        <f>диагр!$I$40</f>
        <v>6</v>
      </c>
      <c r="I42" s="107">
        <f>диагр!$J$40</f>
        <v>6</v>
      </c>
      <c r="J42" s="107">
        <f>диагр!$K$40</f>
        <v>6</v>
      </c>
      <c r="K42" s="107">
        <f>диагр!$L$40</f>
        <v>6</v>
      </c>
      <c r="L42" s="107">
        <f>диагр!$M$40</f>
        <v>6</v>
      </c>
      <c r="M42" s="107">
        <f>диагр!$N$40</f>
        <v>6</v>
      </c>
      <c r="N42" s="107"/>
      <c r="O42" s="107"/>
      <c r="P42" s="107"/>
      <c r="Q42" s="107"/>
      <c r="R42" s="107"/>
      <c r="S42" s="107"/>
      <c r="T42" s="107"/>
      <c r="U42" s="107"/>
      <c r="Y42" s="451" t="s">
        <v>104</v>
      </c>
      <c r="Z42" s="451"/>
      <c r="AA42" s="451"/>
      <c r="AB42" s="325" t="s">
        <v>519</v>
      </c>
    </row>
    <row r="43" spans="1:43" x14ac:dyDescent="0.2">
      <c r="A43" s="108" t="str">
        <f>диагр!$B$41</f>
        <v>Доп. Баллы</v>
      </c>
      <c r="B43" s="108"/>
      <c r="C43" s="108"/>
      <c r="D43" s="108" t="str">
        <f>диагр!$E$41</f>
        <v>0</v>
      </c>
      <c r="E43" s="107">
        <f>диагр!$F$41</f>
        <v>0</v>
      </c>
      <c r="F43" s="107">
        <f>диагр!$G$41</f>
        <v>0</v>
      </c>
      <c r="G43" s="107">
        <f>диагр!$H$41</f>
        <v>1</v>
      </c>
      <c r="H43" s="107">
        <f>диагр!$I$41</f>
        <v>2</v>
      </c>
      <c r="I43" s="107">
        <f>диагр!$J$41</f>
        <v>2</v>
      </c>
      <c r="J43" s="107">
        <f>диагр!$K$41</f>
        <v>1</v>
      </c>
      <c r="K43" s="107">
        <f>диагр!$L$41</f>
        <v>1</v>
      </c>
      <c r="L43" s="107">
        <f>диагр!$M$41</f>
        <v>1</v>
      </c>
      <c r="M43" s="107">
        <f>диагр!$N$41</f>
        <v>0</v>
      </c>
      <c r="N43" s="107"/>
      <c r="O43" s="107"/>
      <c r="P43" s="107"/>
      <c r="Q43" s="107"/>
      <c r="R43" s="107"/>
      <c r="S43" s="107"/>
      <c r="T43" s="107"/>
      <c r="U43" s="107"/>
      <c r="Y43" s="451" t="s">
        <v>105</v>
      </c>
      <c r="Z43" s="451"/>
      <c r="AA43" s="451"/>
      <c r="AB43" s="325" t="s">
        <v>520</v>
      </c>
    </row>
    <row r="44" spans="1:43" ht="15.75" x14ac:dyDescent="0.25">
      <c r="A44" s="105"/>
      <c r="B44" s="105"/>
      <c r="C44" s="105"/>
      <c r="D44" s="105"/>
      <c r="E44" s="106"/>
      <c r="F44" s="106"/>
      <c r="G44" s="106"/>
      <c r="H44" s="106"/>
      <c r="I44" s="106"/>
      <c r="J44" s="67"/>
      <c r="K44" s="67"/>
      <c r="L44" s="67"/>
      <c r="M44" s="67"/>
      <c r="N44" s="67"/>
      <c r="O44" s="67"/>
      <c r="P44" s="67"/>
      <c r="Q44" s="67"/>
      <c r="R44" s="67"/>
      <c r="S44" s="67"/>
      <c r="T44" s="67"/>
      <c r="U44" s="67"/>
      <c r="Y44" s="452" t="s">
        <v>488</v>
      </c>
      <c r="Z44" s="452"/>
      <c r="AA44" s="452"/>
      <c r="AB44" s="325" t="s">
        <v>521</v>
      </c>
    </row>
    <row r="45" spans="1:43" ht="15.75" x14ac:dyDescent="0.25">
      <c r="A45" s="232"/>
      <c r="B45" s="105"/>
      <c r="C45" s="105"/>
      <c r="D45" s="105"/>
      <c r="E45" s="106"/>
      <c r="F45" s="106"/>
      <c r="G45" s="106"/>
      <c r="H45" s="106"/>
      <c r="I45" s="106"/>
      <c r="J45" s="67"/>
      <c r="K45" s="67"/>
      <c r="L45" s="67"/>
      <c r="M45" s="67"/>
      <c r="N45" s="67"/>
      <c r="O45" s="67"/>
      <c r="P45" s="67"/>
      <c r="Q45" s="67"/>
      <c r="R45" s="67"/>
      <c r="S45" s="67"/>
      <c r="T45" s="67"/>
      <c r="U45" s="67"/>
    </row>
    <row r="46" spans="1:43" ht="15.75" x14ac:dyDescent="0.25">
      <c r="A46" s="105"/>
      <c r="B46" s="105"/>
      <c r="C46" s="105"/>
      <c r="D46" s="105"/>
      <c r="E46" s="106"/>
      <c r="F46" s="106"/>
      <c r="G46" s="106"/>
      <c r="H46" s="106"/>
      <c r="I46" s="106"/>
      <c r="J46" s="67"/>
      <c r="K46" s="67"/>
      <c r="L46" s="67"/>
      <c r="M46" s="67"/>
      <c r="N46" s="67"/>
      <c r="O46" s="67"/>
      <c r="P46" s="67"/>
      <c r="Q46" s="67"/>
      <c r="R46" s="67"/>
      <c r="S46" s="67"/>
      <c r="T46" s="67"/>
      <c r="U46" s="67"/>
    </row>
    <row r="47" spans="1:43" ht="15.75" x14ac:dyDescent="0.25">
      <c r="A47" s="105"/>
      <c r="B47" s="105"/>
      <c r="C47" s="105"/>
      <c r="D47" s="105"/>
      <c r="E47" s="106"/>
      <c r="F47" s="106"/>
      <c r="G47" s="106"/>
      <c r="H47" s="106"/>
      <c r="I47" s="106"/>
      <c r="J47" s="67"/>
      <c r="K47" s="67"/>
      <c r="L47" s="67"/>
      <c r="M47" s="67"/>
      <c r="N47" s="67"/>
      <c r="O47" s="67"/>
      <c r="P47" s="67"/>
      <c r="Q47" s="67"/>
      <c r="R47" s="67"/>
      <c r="S47" s="67"/>
      <c r="T47" s="67"/>
      <c r="U47" s="67"/>
      <c r="X47" s="324"/>
    </row>
    <row r="48" spans="1:43" ht="15.75" x14ac:dyDescent="0.25">
      <c r="A48" s="105"/>
      <c r="B48" s="105"/>
      <c r="C48" s="105"/>
      <c r="D48" s="105"/>
      <c r="E48" s="106"/>
      <c r="F48" s="106"/>
      <c r="G48" s="106"/>
      <c r="H48" s="106"/>
      <c r="I48" s="106"/>
      <c r="J48" s="67"/>
      <c r="K48" s="67"/>
      <c r="L48" s="67"/>
      <c r="M48" s="67"/>
      <c r="N48" s="67"/>
      <c r="O48" s="67"/>
      <c r="P48" s="67"/>
      <c r="Q48" s="67"/>
      <c r="R48" s="67"/>
      <c r="S48" s="67"/>
      <c r="T48" s="67"/>
      <c r="U48" s="67"/>
      <c r="X48" s="324"/>
    </row>
    <row r="49" spans="1:24" ht="15.75" x14ac:dyDescent="0.25">
      <c r="A49" s="105"/>
      <c r="B49" s="105"/>
      <c r="C49" s="105"/>
      <c r="D49" s="105"/>
      <c r="E49" s="106"/>
      <c r="F49" s="106"/>
      <c r="G49" s="106"/>
      <c r="H49" s="106"/>
      <c r="I49" s="106"/>
      <c r="J49" s="67"/>
      <c r="K49" s="67"/>
      <c r="L49" s="67"/>
      <c r="M49" s="67"/>
      <c r="N49" s="67"/>
      <c r="O49" s="67"/>
      <c r="P49" s="67"/>
      <c r="Q49" s="67"/>
      <c r="R49" s="67"/>
      <c r="S49" s="67"/>
      <c r="T49" s="67"/>
      <c r="U49" s="67"/>
      <c r="X49" s="324"/>
    </row>
    <row r="50" spans="1:24" ht="15.75" x14ac:dyDescent="0.25">
      <c r="A50" s="105"/>
      <c r="B50" s="105"/>
      <c r="C50" s="105"/>
      <c r="D50" s="105"/>
      <c r="E50" s="106"/>
      <c r="F50" s="106"/>
      <c r="G50" s="106"/>
      <c r="H50" s="106"/>
      <c r="I50" s="106"/>
      <c r="J50" s="67"/>
      <c r="K50" s="67"/>
      <c r="L50" s="67"/>
      <c r="M50" s="67"/>
      <c r="N50" s="67"/>
      <c r="O50" s="67"/>
      <c r="P50" s="67"/>
      <c r="Q50" s="67"/>
      <c r="R50" s="67"/>
      <c r="S50" s="67"/>
      <c r="T50" s="67"/>
      <c r="U50" s="67"/>
      <c r="X50" s="324"/>
    </row>
    <row r="51" spans="1:24" ht="15.75" x14ac:dyDescent="0.25">
      <c r="A51" s="105"/>
      <c r="B51" s="105"/>
      <c r="C51" s="105"/>
      <c r="D51" s="105"/>
      <c r="E51" s="106"/>
      <c r="F51" s="106"/>
      <c r="G51" s="106"/>
      <c r="H51" s="106"/>
      <c r="I51" s="106"/>
      <c r="J51" s="67"/>
      <c r="K51" s="67"/>
      <c r="L51" s="67"/>
      <c r="M51" s="67"/>
      <c r="N51" s="67"/>
      <c r="O51" s="67"/>
      <c r="P51" s="67"/>
      <c r="Q51" s="67"/>
      <c r="R51" s="67"/>
      <c r="S51" s="67"/>
      <c r="T51" s="67"/>
      <c r="U51" s="67"/>
      <c r="X51" s="324"/>
    </row>
    <row r="52" spans="1:24" ht="15.75" x14ac:dyDescent="0.25">
      <c r="A52" s="105"/>
      <c r="B52" s="105"/>
      <c r="C52" s="105"/>
      <c r="D52" s="105"/>
      <c r="E52" s="106"/>
      <c r="F52" s="106"/>
      <c r="G52" s="106"/>
      <c r="H52" s="106"/>
      <c r="I52" s="106"/>
      <c r="J52" s="67"/>
      <c r="K52" s="67"/>
      <c r="L52" s="67"/>
      <c r="M52" s="67"/>
      <c r="N52" s="67"/>
      <c r="O52" s="67"/>
      <c r="P52" s="67"/>
      <c r="Q52" s="67"/>
      <c r="R52" s="67"/>
      <c r="S52" s="67"/>
      <c r="T52" s="67"/>
      <c r="U52" s="67"/>
      <c r="X52" s="324"/>
    </row>
    <row r="53" spans="1:24" ht="15.75" x14ac:dyDescent="0.25">
      <c r="A53" s="105"/>
      <c r="B53" s="105"/>
      <c r="C53" s="105"/>
      <c r="D53" s="105"/>
      <c r="E53" s="106"/>
      <c r="F53" s="106"/>
      <c r="G53" s="106"/>
      <c r="H53" s="106"/>
      <c r="I53" s="106"/>
      <c r="J53" s="67"/>
      <c r="K53" s="67"/>
      <c r="L53" s="67"/>
      <c r="M53" s="67"/>
      <c r="N53" s="67"/>
      <c r="O53" s="67"/>
      <c r="P53" s="67"/>
      <c r="Q53" s="67"/>
      <c r="R53" s="67"/>
      <c r="S53" s="67"/>
      <c r="T53" s="67"/>
      <c r="U53" s="67"/>
      <c r="X53" s="324"/>
    </row>
    <row r="54" spans="1:24" ht="15.75" x14ac:dyDescent="0.25">
      <c r="A54" s="105"/>
      <c r="B54" s="105"/>
      <c r="C54" s="105"/>
      <c r="D54" s="105"/>
      <c r="E54" s="106"/>
      <c r="F54" s="106"/>
      <c r="G54" s="106"/>
      <c r="H54" s="106"/>
      <c r="I54" s="106"/>
      <c r="J54" s="67"/>
      <c r="K54" s="67"/>
      <c r="L54" s="67"/>
      <c r="M54" s="67"/>
      <c r="N54" s="67"/>
      <c r="O54" s="67"/>
      <c r="P54" s="67"/>
      <c r="Q54" s="67"/>
      <c r="R54" s="67"/>
      <c r="S54" s="67"/>
      <c r="T54" s="67"/>
      <c r="U54" s="67"/>
      <c r="X54" s="324"/>
    </row>
    <row r="55" spans="1:24" ht="15.75" x14ac:dyDescent="0.25">
      <c r="A55" s="105"/>
      <c r="B55" s="105"/>
      <c r="C55" s="105"/>
      <c r="D55" s="105"/>
      <c r="E55" s="106"/>
      <c r="F55" s="106"/>
      <c r="G55" s="106"/>
      <c r="H55" s="106"/>
      <c r="I55" s="106"/>
      <c r="J55" s="67"/>
      <c r="K55" s="67"/>
      <c r="L55" s="67"/>
      <c r="M55" s="67"/>
      <c r="N55" s="67"/>
      <c r="O55" s="67"/>
      <c r="P55" s="67"/>
      <c r="Q55" s="67"/>
      <c r="R55" s="67"/>
      <c r="S55" s="67"/>
      <c r="T55" s="67"/>
      <c r="U55" s="67"/>
      <c r="X55" s="324"/>
    </row>
    <row r="56" spans="1:24" ht="15.75" x14ac:dyDescent="0.25">
      <c r="A56" s="105"/>
      <c r="B56" s="105"/>
      <c r="C56" s="105"/>
      <c r="D56" s="105"/>
      <c r="E56" s="106"/>
      <c r="F56" s="106"/>
      <c r="G56" s="106"/>
      <c r="H56" s="106"/>
      <c r="I56" s="106"/>
      <c r="J56" s="67"/>
      <c r="K56" s="67"/>
      <c r="L56" s="67"/>
      <c r="M56" s="67"/>
      <c r="N56" s="67"/>
      <c r="O56" s="67"/>
      <c r="P56" s="67"/>
      <c r="Q56" s="67"/>
      <c r="R56" s="67"/>
      <c r="S56" s="67"/>
      <c r="T56" s="67"/>
      <c r="U56" s="67"/>
      <c r="X56" s="324"/>
    </row>
    <row r="57" spans="1:24" ht="15.75" x14ac:dyDescent="0.25">
      <c r="A57" s="105"/>
      <c r="B57" s="105"/>
      <c r="C57" s="105"/>
      <c r="D57" s="105"/>
      <c r="E57" s="106"/>
      <c r="F57" s="106"/>
      <c r="G57" s="106"/>
      <c r="H57" s="106"/>
      <c r="I57" s="106"/>
      <c r="J57" s="67"/>
      <c r="K57" s="67"/>
      <c r="L57" s="67"/>
      <c r="M57" s="67"/>
      <c r="N57" s="67"/>
      <c r="O57" s="67"/>
      <c r="P57" s="67"/>
      <c r="Q57" s="67"/>
      <c r="R57" s="67"/>
      <c r="S57" s="67"/>
      <c r="T57" s="67"/>
      <c r="U57" s="67"/>
      <c r="X57" s="324"/>
    </row>
    <row r="58" spans="1:24" ht="15.75" x14ac:dyDescent="0.25">
      <c r="A58" s="105"/>
      <c r="B58" s="105"/>
      <c r="C58" s="105"/>
      <c r="D58" s="105"/>
      <c r="E58" s="106"/>
      <c r="F58" s="106"/>
      <c r="G58" s="106"/>
      <c r="H58" s="106"/>
      <c r="I58" s="106"/>
      <c r="J58" s="67"/>
      <c r="K58" s="67"/>
      <c r="L58" s="67"/>
      <c r="M58" s="67"/>
      <c r="N58" s="67"/>
      <c r="O58" s="67"/>
      <c r="P58" s="67"/>
      <c r="Q58" s="67"/>
      <c r="R58" s="67"/>
      <c r="S58" s="67"/>
      <c r="T58" s="67"/>
      <c r="U58" s="67"/>
    </row>
    <row r="59" spans="1:24" ht="15.75" x14ac:dyDescent="0.25">
      <c r="A59" s="105"/>
      <c r="B59" s="105"/>
      <c r="C59" s="105"/>
      <c r="D59" s="105"/>
      <c r="E59" s="106"/>
      <c r="F59" s="106"/>
      <c r="G59" s="106"/>
      <c r="H59" s="106"/>
      <c r="I59" s="106"/>
      <c r="J59" s="67"/>
      <c r="K59" s="67"/>
      <c r="L59" s="67"/>
      <c r="M59" s="67"/>
      <c r="N59" s="67"/>
      <c r="O59" s="67"/>
      <c r="P59" s="67"/>
      <c r="Q59" s="67"/>
      <c r="R59" s="67"/>
      <c r="S59" s="67"/>
      <c r="T59" s="67"/>
      <c r="U59" s="67"/>
    </row>
    <row r="60" spans="1:24" ht="15.75" x14ac:dyDescent="0.25">
      <c r="A60" s="105"/>
      <c r="B60" s="105"/>
      <c r="C60" s="105"/>
      <c r="D60" s="105"/>
      <c r="E60" s="106"/>
      <c r="F60" s="106"/>
      <c r="G60" s="106"/>
      <c r="H60" s="106"/>
      <c r="I60" s="106"/>
      <c r="J60" s="67"/>
      <c r="K60" s="67"/>
      <c r="L60" s="67"/>
      <c r="M60" s="67"/>
      <c r="N60" s="67"/>
      <c r="O60" s="67"/>
      <c r="P60" s="67"/>
      <c r="Q60" s="67"/>
      <c r="R60" s="67"/>
      <c r="S60" s="67"/>
      <c r="T60" s="67"/>
      <c r="U60" s="67"/>
    </row>
    <row r="61" spans="1:24" ht="15.75" x14ac:dyDescent="0.25">
      <c r="A61" s="105"/>
      <c r="B61" s="105"/>
      <c r="C61" s="105"/>
      <c r="D61" s="105"/>
      <c r="E61" s="106"/>
      <c r="F61" s="106"/>
      <c r="G61" s="106"/>
      <c r="H61" s="106"/>
      <c r="I61" s="106"/>
      <c r="J61" s="67"/>
      <c r="K61" s="67"/>
      <c r="L61" s="67"/>
      <c r="M61" s="67"/>
      <c r="N61" s="67"/>
      <c r="O61" s="67"/>
      <c r="P61" s="67"/>
      <c r="Q61" s="67"/>
      <c r="R61" s="67"/>
      <c r="S61" s="67"/>
      <c r="T61" s="67"/>
      <c r="U61" s="67"/>
    </row>
    <row r="62" spans="1:24" ht="15.75" x14ac:dyDescent="0.25">
      <c r="A62" s="105"/>
      <c r="B62" s="105"/>
      <c r="C62" s="105"/>
      <c r="D62" s="105"/>
      <c r="E62" s="106"/>
      <c r="F62" s="106"/>
      <c r="G62" s="106"/>
      <c r="H62" s="106"/>
      <c r="I62" s="106"/>
      <c r="J62" s="67"/>
      <c r="K62" s="67"/>
      <c r="L62" s="67"/>
      <c r="M62" s="67"/>
      <c r="N62" s="67"/>
      <c r="O62" s="67"/>
      <c r="P62" s="67"/>
      <c r="Q62" s="67"/>
      <c r="R62" s="67"/>
      <c r="S62" s="67"/>
      <c r="T62" s="67"/>
      <c r="U62" s="67"/>
    </row>
    <row r="63" spans="1:24" ht="16.5" thickBot="1" x14ac:dyDescent="0.3">
      <c r="A63" s="105"/>
      <c r="B63" s="105"/>
      <c r="C63" s="105"/>
      <c r="D63" s="105"/>
      <c r="E63" s="106"/>
      <c r="F63" s="106"/>
      <c r="G63" s="106"/>
      <c r="H63" s="106"/>
      <c r="I63" s="106"/>
      <c r="J63" s="67"/>
      <c r="K63" s="67"/>
      <c r="L63" s="67"/>
      <c r="M63" s="67"/>
      <c r="N63" s="67"/>
      <c r="O63" s="67"/>
      <c r="P63" s="67"/>
      <c r="Q63" s="67"/>
      <c r="R63" s="67"/>
      <c r="S63" s="67"/>
      <c r="T63" s="67"/>
      <c r="U63" s="67"/>
    </row>
    <row r="64" spans="1:24" ht="16.5" thickBot="1" x14ac:dyDescent="0.3">
      <c r="A64" s="8"/>
      <c r="B64" s="384" t="s">
        <v>256</v>
      </c>
      <c r="C64" s="417"/>
      <c r="D64" s="417"/>
      <c r="E64" s="417"/>
      <c r="F64" s="417"/>
      <c r="G64" s="417"/>
      <c r="H64" s="417"/>
      <c r="I64" s="385"/>
      <c r="J64" s="66"/>
      <c r="K64" s="66"/>
      <c r="L64" s="66"/>
      <c r="M64" s="66"/>
      <c r="N64" s="66"/>
      <c r="O64" s="66"/>
      <c r="P64" s="66"/>
      <c r="Q64" s="66"/>
      <c r="R64" s="66"/>
      <c r="S64" s="66"/>
      <c r="T64" s="66"/>
      <c r="U64" s="66"/>
    </row>
    <row r="65" spans="2:14" ht="17.25" customHeight="1" thickBot="1" x14ac:dyDescent="0.25">
      <c r="B65" s="390" t="s">
        <v>168</v>
      </c>
      <c r="C65" s="393" t="s">
        <v>169</v>
      </c>
      <c r="D65" s="393"/>
      <c r="E65" s="393"/>
      <c r="F65" s="393"/>
      <c r="G65" s="393"/>
      <c r="H65" s="393"/>
      <c r="I65" s="394"/>
    </row>
    <row r="66" spans="2:14" ht="17.25" customHeight="1" thickBot="1" x14ac:dyDescent="0.25">
      <c r="B66" s="391"/>
      <c r="C66" s="392"/>
      <c r="D66" s="392"/>
      <c r="E66" s="95"/>
      <c r="F66" s="95" t="s">
        <v>254</v>
      </c>
      <c r="G66" s="95" t="s">
        <v>253</v>
      </c>
      <c r="H66" s="95" t="s">
        <v>255</v>
      </c>
      <c r="I66" s="96"/>
      <c r="J66" s="377" t="s">
        <v>422</v>
      </c>
      <c r="K66" s="378"/>
    </row>
    <row r="67" spans="2:14" ht="15.75" thickBot="1" x14ac:dyDescent="0.25">
      <c r="B67" s="468" t="s">
        <v>170</v>
      </c>
      <c r="C67" s="416" t="s">
        <v>223</v>
      </c>
      <c r="D67" s="416"/>
      <c r="E67" s="86" t="s">
        <v>12</v>
      </c>
      <c r="F67" s="274">
        <f>V23</f>
        <v>0</v>
      </c>
      <c r="G67" s="274">
        <f>V26</f>
        <v>0</v>
      </c>
      <c r="H67" s="274">
        <f>SUM(F67:G67)</f>
        <v>0</v>
      </c>
      <c r="I67" s="275" t="str">
        <f>IF(H67&gt;=11,1,"")</f>
        <v/>
      </c>
      <c r="J67" s="443">
        <f>SUM(I67:I72)</f>
        <v>0</v>
      </c>
      <c r="K67" s="8"/>
      <c r="M67" s="334" t="str">
        <f>AC34</f>
        <v/>
      </c>
      <c r="N67" s="333" t="e">
        <f>INDEX(N68:N78,MATCH(M67,M68:M78,0))</f>
        <v>#N/A</v>
      </c>
    </row>
    <row r="68" spans="2:14" x14ac:dyDescent="0.2">
      <c r="B68" s="469"/>
      <c r="C68" s="464" t="s">
        <v>224</v>
      </c>
      <c r="D68" s="464"/>
      <c r="E68" s="87" t="s">
        <v>18</v>
      </c>
      <c r="F68" s="276">
        <f>AC23</f>
        <v>0</v>
      </c>
      <c r="G68" s="276">
        <f>AC26</f>
        <v>1</v>
      </c>
      <c r="H68" s="276">
        <f t="shared" ref="H68:H98" si="9">SUM(F68:G68)</f>
        <v>1</v>
      </c>
      <c r="I68" s="277" t="str">
        <f>IF(H68&gt;=7,1,"")</f>
        <v/>
      </c>
      <c r="J68" s="443"/>
      <c r="M68" s="325" t="s">
        <v>511</v>
      </c>
      <c r="N68" s="335">
        <f>J67</f>
        <v>0</v>
      </c>
    </row>
    <row r="69" spans="2:14" x14ac:dyDescent="0.2">
      <c r="B69" s="469"/>
      <c r="C69" s="464" t="s">
        <v>225</v>
      </c>
      <c r="D69" s="464"/>
      <c r="E69" s="87" t="s">
        <v>16</v>
      </c>
      <c r="F69" s="276">
        <f>AE23</f>
        <v>0</v>
      </c>
      <c r="G69" s="276">
        <f>AE26</f>
        <v>1</v>
      </c>
      <c r="H69" s="276">
        <f t="shared" si="9"/>
        <v>1</v>
      </c>
      <c r="I69" s="277" t="str">
        <f>IF(H69&gt;=8,1,"")</f>
        <v/>
      </c>
      <c r="J69" s="443"/>
      <c r="M69" s="325" t="s">
        <v>512</v>
      </c>
      <c r="N69" s="325"/>
    </row>
    <row r="70" spans="2:14" x14ac:dyDescent="0.2">
      <c r="B70" s="469"/>
      <c r="C70" s="460" t="s">
        <v>226</v>
      </c>
      <c r="D70" s="460"/>
      <c r="E70" s="87" t="s">
        <v>30</v>
      </c>
      <c r="F70" s="276">
        <f>AH23</f>
        <v>0</v>
      </c>
      <c r="G70" s="276">
        <f>AH26</f>
        <v>0</v>
      </c>
      <c r="H70" s="276">
        <f t="shared" si="9"/>
        <v>0</v>
      </c>
      <c r="I70" s="277" t="str">
        <f>IF(H70&gt;=5,1,"")</f>
        <v/>
      </c>
      <c r="J70" s="443"/>
      <c r="M70" s="325" t="s">
        <v>513</v>
      </c>
      <c r="N70" s="325">
        <f>J76</f>
        <v>0</v>
      </c>
    </row>
    <row r="71" spans="2:14" x14ac:dyDescent="0.2">
      <c r="B71" s="469"/>
      <c r="C71" s="460" t="s">
        <v>227</v>
      </c>
      <c r="D71" s="460"/>
      <c r="E71" s="87" t="s">
        <v>33</v>
      </c>
      <c r="F71" s="276">
        <f>AK23</f>
        <v>0</v>
      </c>
      <c r="G71" s="276">
        <f>AK26</f>
        <v>0</v>
      </c>
      <c r="H71" s="276">
        <f t="shared" si="9"/>
        <v>0</v>
      </c>
      <c r="I71" s="277" t="str">
        <f>IF(H71&gt;=5,1,"")</f>
        <v/>
      </c>
      <c r="J71" s="443"/>
      <c r="M71" s="325" t="s">
        <v>514</v>
      </c>
      <c r="N71" s="325"/>
    </row>
    <row r="72" spans="2:14" ht="15" customHeight="1" thickBot="1" x14ac:dyDescent="0.25">
      <c r="B72" s="470"/>
      <c r="C72" s="471" t="s">
        <v>228</v>
      </c>
      <c r="D72" s="471"/>
      <c r="E72" s="88" t="s">
        <v>229</v>
      </c>
      <c r="F72" s="278">
        <f>SUM(V23,AE23)</f>
        <v>0</v>
      </c>
      <c r="G72" s="278">
        <f>SUM(V26,AE26)</f>
        <v>1</v>
      </c>
      <c r="H72" s="278">
        <f t="shared" si="9"/>
        <v>1</v>
      </c>
      <c r="I72" s="279" t="str">
        <f>IF(H72&gt;=19,1,"")</f>
        <v/>
      </c>
      <c r="J72" s="444"/>
      <c r="M72" s="325" t="s">
        <v>515</v>
      </c>
      <c r="N72" s="325">
        <f>J81</f>
        <v>0</v>
      </c>
    </row>
    <row r="73" spans="2:14" ht="15" customHeight="1" x14ac:dyDescent="0.2">
      <c r="B73" s="387" t="s">
        <v>171</v>
      </c>
      <c r="C73" s="461" t="s">
        <v>230</v>
      </c>
      <c r="D73" s="461"/>
      <c r="E73" s="89" t="s">
        <v>15</v>
      </c>
      <c r="F73" s="274">
        <f>X23</f>
        <v>0</v>
      </c>
      <c r="G73" s="274">
        <f>X26</f>
        <v>0</v>
      </c>
      <c r="H73" s="274">
        <f t="shared" si="9"/>
        <v>0</v>
      </c>
      <c r="I73" s="275" t="str">
        <f>IF(H73&gt;=6,1,"")</f>
        <v/>
      </c>
      <c r="J73" s="445">
        <f>SUM(I73:I75)</f>
        <v>0</v>
      </c>
      <c r="M73" s="325" t="s">
        <v>516</v>
      </c>
      <c r="N73" s="325"/>
    </row>
    <row r="74" spans="2:14" ht="15" customHeight="1" x14ac:dyDescent="0.2">
      <c r="B74" s="388"/>
      <c r="C74" s="462" t="s">
        <v>231</v>
      </c>
      <c r="D74" s="462"/>
      <c r="E74" s="22" t="s">
        <v>17</v>
      </c>
      <c r="F74" s="276">
        <f>AB23</f>
        <v>0</v>
      </c>
      <c r="G74" s="276">
        <f>AB26</f>
        <v>2</v>
      </c>
      <c r="H74" s="276">
        <f t="shared" si="9"/>
        <v>2</v>
      </c>
      <c r="I74" s="277" t="str">
        <f>IF(H74&gt;=12,1,"")</f>
        <v/>
      </c>
      <c r="J74" s="443"/>
      <c r="M74" s="325" t="s">
        <v>517</v>
      </c>
      <c r="N74" s="325">
        <f>J73</f>
        <v>0</v>
      </c>
    </row>
    <row r="75" spans="2:14" ht="15" customHeight="1" thickBot="1" x14ac:dyDescent="0.25">
      <c r="B75" s="389"/>
      <c r="C75" s="463" t="s">
        <v>232</v>
      </c>
      <c r="D75" s="463"/>
      <c r="E75" s="90" t="s">
        <v>2</v>
      </c>
      <c r="F75" s="278">
        <f>AL23</f>
        <v>0</v>
      </c>
      <c r="G75" s="278">
        <f>AL26</f>
        <v>0</v>
      </c>
      <c r="H75" s="278">
        <f t="shared" si="9"/>
        <v>0</v>
      </c>
      <c r="I75" s="279" t="str">
        <f>IF(H75&gt;=5,1,"")</f>
        <v/>
      </c>
      <c r="J75" s="444"/>
      <c r="M75" s="325" t="s">
        <v>518</v>
      </c>
      <c r="N75" s="325">
        <f>J85</f>
        <v>0</v>
      </c>
    </row>
    <row r="76" spans="2:14" ht="15.75" x14ac:dyDescent="0.2">
      <c r="B76" s="387" t="s">
        <v>172</v>
      </c>
      <c r="C76" s="395" t="s">
        <v>233</v>
      </c>
      <c r="D76" s="395"/>
      <c r="E76" s="89" t="s">
        <v>15</v>
      </c>
      <c r="F76" s="274">
        <f>X23</f>
        <v>0</v>
      </c>
      <c r="G76" s="274">
        <f>X26</f>
        <v>0</v>
      </c>
      <c r="H76" s="274">
        <f t="shared" si="9"/>
        <v>0</v>
      </c>
      <c r="I76" s="275" t="str">
        <f>IF(H76&gt;=12,1,"")</f>
        <v/>
      </c>
      <c r="J76" s="445">
        <f>SUM(I76:I80)</f>
        <v>0</v>
      </c>
      <c r="M76" s="325" t="s">
        <v>519</v>
      </c>
      <c r="N76" s="325">
        <f>J95</f>
        <v>0</v>
      </c>
    </row>
    <row r="77" spans="2:14" ht="15.75" x14ac:dyDescent="0.2">
      <c r="B77" s="388"/>
      <c r="C77" s="396" t="s">
        <v>234</v>
      </c>
      <c r="D77" s="396"/>
      <c r="E77" s="22" t="s">
        <v>17</v>
      </c>
      <c r="F77" s="276">
        <f>AB23</f>
        <v>0</v>
      </c>
      <c r="G77" s="276">
        <f>AB26</f>
        <v>2</v>
      </c>
      <c r="H77" s="276">
        <f t="shared" si="9"/>
        <v>2</v>
      </c>
      <c r="I77" s="277" t="str">
        <f>IF(H77&gt;=7,1,"")</f>
        <v/>
      </c>
      <c r="J77" s="443"/>
      <c r="M77" s="325" t="s">
        <v>520</v>
      </c>
      <c r="N77" s="325"/>
    </row>
    <row r="78" spans="2:14" x14ac:dyDescent="0.2">
      <c r="B78" s="388"/>
      <c r="C78" s="396" t="s">
        <v>207</v>
      </c>
      <c r="D78" s="396"/>
      <c r="E78" s="87" t="s">
        <v>16</v>
      </c>
      <c r="F78" s="276">
        <f>AE23</f>
        <v>0</v>
      </c>
      <c r="G78" s="276">
        <f>AE26</f>
        <v>1</v>
      </c>
      <c r="H78" s="276">
        <f t="shared" si="9"/>
        <v>1</v>
      </c>
      <c r="I78" s="277" t="str">
        <f>IF(H78&gt;=7,1,"")</f>
        <v/>
      </c>
      <c r="J78" s="443"/>
      <c r="M78" s="325" t="s">
        <v>521</v>
      </c>
      <c r="N78" s="325">
        <f>J95</f>
        <v>0</v>
      </c>
    </row>
    <row r="79" spans="2:14" x14ac:dyDescent="0.2">
      <c r="B79" s="388"/>
      <c r="C79" s="396" t="s">
        <v>235</v>
      </c>
      <c r="D79" s="396"/>
      <c r="E79" s="87" t="s">
        <v>33</v>
      </c>
      <c r="F79" s="276">
        <f>AK23</f>
        <v>0</v>
      </c>
      <c r="G79" s="276">
        <f>AK26</f>
        <v>0</v>
      </c>
      <c r="H79" s="276">
        <f t="shared" si="9"/>
        <v>0</v>
      </c>
      <c r="I79" s="277" t="str">
        <f>IF(H79&gt;=4,1,"")</f>
        <v/>
      </c>
      <c r="J79" s="443"/>
    </row>
    <row r="80" spans="2:14" ht="16.5" thickBot="1" x14ac:dyDescent="0.3">
      <c r="B80" s="389"/>
      <c r="C80" s="386" t="s">
        <v>236</v>
      </c>
      <c r="D80" s="386"/>
      <c r="E80" s="90" t="s">
        <v>2</v>
      </c>
      <c r="F80" s="278">
        <f>AL23</f>
        <v>0</v>
      </c>
      <c r="G80" s="278">
        <f>AL26</f>
        <v>0</v>
      </c>
      <c r="H80" s="278">
        <f t="shared" si="9"/>
        <v>0</v>
      </c>
      <c r="I80" s="279" t="str">
        <f>IF(H80&gt;=4,1,"")</f>
        <v/>
      </c>
      <c r="J80" s="444"/>
    </row>
    <row r="81" spans="2:30" ht="15" customHeight="1" x14ac:dyDescent="0.2">
      <c r="B81" s="387" t="s">
        <v>173</v>
      </c>
      <c r="C81" s="461" t="s">
        <v>237</v>
      </c>
      <c r="D81" s="461"/>
      <c r="E81" s="86" t="s">
        <v>19</v>
      </c>
      <c r="F81" s="274">
        <f>Z23</f>
        <v>0</v>
      </c>
      <c r="G81" s="274">
        <f>Z26</f>
        <v>1</v>
      </c>
      <c r="H81" s="274">
        <f t="shared" si="9"/>
        <v>1</v>
      </c>
      <c r="I81" s="275" t="str">
        <f>IF(H81&gt;=11,1,"")</f>
        <v/>
      </c>
      <c r="J81" s="445">
        <f>SUM(I81:I84)</f>
        <v>0</v>
      </c>
    </row>
    <row r="82" spans="2:30" ht="15" customHeight="1" x14ac:dyDescent="0.2">
      <c r="B82" s="388"/>
      <c r="C82" s="462" t="s">
        <v>238</v>
      </c>
      <c r="D82" s="462"/>
      <c r="E82" s="87" t="s">
        <v>18</v>
      </c>
      <c r="F82" s="276">
        <f>AC23</f>
        <v>0</v>
      </c>
      <c r="G82" s="276">
        <f>AC26</f>
        <v>1</v>
      </c>
      <c r="H82" s="276">
        <f t="shared" si="9"/>
        <v>1</v>
      </c>
      <c r="I82" s="277" t="str">
        <f>IF(H82&gt;=6,1,"")</f>
        <v/>
      </c>
      <c r="J82" s="443"/>
    </row>
    <row r="83" spans="2:30" ht="15" customHeight="1" x14ac:dyDescent="0.2">
      <c r="B83" s="388"/>
      <c r="C83" s="462" t="s">
        <v>239</v>
      </c>
      <c r="D83" s="462"/>
      <c r="E83" s="22" t="s">
        <v>2</v>
      </c>
      <c r="F83" s="276">
        <f>AL23</f>
        <v>0</v>
      </c>
      <c r="G83" s="276">
        <f>AL26</f>
        <v>0</v>
      </c>
      <c r="H83" s="276">
        <f t="shared" si="9"/>
        <v>0</v>
      </c>
      <c r="I83" s="277" t="str">
        <f>IF(H83&gt;=3,1,"")</f>
        <v/>
      </c>
      <c r="J83" s="443"/>
    </row>
    <row r="84" spans="2:30" ht="15" customHeight="1" thickBot="1" x14ac:dyDescent="0.25">
      <c r="B84" s="389"/>
      <c r="C84" s="463" t="s">
        <v>240</v>
      </c>
      <c r="D84" s="463"/>
      <c r="E84" s="90" t="s">
        <v>241</v>
      </c>
      <c r="F84" s="278">
        <f>E100</f>
        <v>2</v>
      </c>
      <c r="G84" s="278"/>
      <c r="H84" s="278">
        <f t="shared" si="9"/>
        <v>2</v>
      </c>
      <c r="I84" s="279" t="str">
        <f>IF(H84=0,0,"1")</f>
        <v>1</v>
      </c>
      <c r="J84" s="444"/>
    </row>
    <row r="85" spans="2:30" ht="15.75" x14ac:dyDescent="0.2">
      <c r="B85" s="387" t="s">
        <v>174</v>
      </c>
      <c r="C85" s="395" t="s">
        <v>234</v>
      </c>
      <c r="D85" s="395"/>
      <c r="E85" s="89" t="s">
        <v>17</v>
      </c>
      <c r="F85" s="274">
        <f>AB23</f>
        <v>0</v>
      </c>
      <c r="G85" s="274">
        <f>AB26</f>
        <v>2</v>
      </c>
      <c r="H85" s="274">
        <f t="shared" si="9"/>
        <v>2</v>
      </c>
      <c r="I85" s="275" t="str">
        <f>IF(H85&gt;=7,1,"")</f>
        <v/>
      </c>
      <c r="J85" s="445">
        <f>SUM(I85:I89)</f>
        <v>0</v>
      </c>
    </row>
    <row r="86" spans="2:30" ht="15.75" x14ac:dyDescent="0.2">
      <c r="B86" s="388"/>
      <c r="C86" s="396" t="s">
        <v>242</v>
      </c>
      <c r="D86" s="396"/>
      <c r="E86" s="22" t="s">
        <v>20</v>
      </c>
      <c r="F86" s="276">
        <f>AD23</f>
        <v>0</v>
      </c>
      <c r="G86" s="276">
        <f>AD26</f>
        <v>1</v>
      </c>
      <c r="H86" s="276">
        <f t="shared" si="9"/>
        <v>1</v>
      </c>
      <c r="I86" s="277" t="str">
        <f>IF(H86&gt;=8,1,"")</f>
        <v/>
      </c>
      <c r="J86" s="443"/>
      <c r="K86" s="65"/>
    </row>
    <row r="87" spans="2:30" x14ac:dyDescent="0.2">
      <c r="B87" s="388"/>
      <c r="C87" s="396" t="s">
        <v>225</v>
      </c>
      <c r="D87" s="396"/>
      <c r="E87" s="87" t="s">
        <v>16</v>
      </c>
      <c r="F87" s="276">
        <f>AE23</f>
        <v>0</v>
      </c>
      <c r="G87" s="276">
        <f>AE26</f>
        <v>1</v>
      </c>
      <c r="H87" s="276">
        <f t="shared" si="9"/>
        <v>1</v>
      </c>
      <c r="I87" s="277" t="str">
        <f>IF(H87&gt;=8,1,"")</f>
        <v/>
      </c>
      <c r="J87" s="443"/>
      <c r="K87" s="65"/>
    </row>
    <row r="88" spans="2:30" x14ac:dyDescent="0.2">
      <c r="B88" s="388"/>
      <c r="C88" s="396" t="s">
        <v>227</v>
      </c>
      <c r="D88" s="396"/>
      <c r="E88" s="87" t="s">
        <v>33</v>
      </c>
      <c r="F88" s="276">
        <f>AK23</f>
        <v>0</v>
      </c>
      <c r="G88" s="276">
        <f>AK26</f>
        <v>0</v>
      </c>
      <c r="H88" s="276">
        <f t="shared" si="9"/>
        <v>0</v>
      </c>
      <c r="I88" s="277" t="str">
        <f>IF(H88&gt;=5,1,"")</f>
        <v/>
      </c>
      <c r="J88" s="443"/>
      <c r="K88" s="65"/>
      <c r="AD88" s="3"/>
    </row>
    <row r="89" spans="2:30" ht="16.5" thickBot="1" x14ac:dyDescent="0.3">
      <c r="B89" s="389"/>
      <c r="C89" s="386" t="s">
        <v>232</v>
      </c>
      <c r="D89" s="386"/>
      <c r="E89" s="90" t="s">
        <v>2</v>
      </c>
      <c r="F89" s="278">
        <f>AL23</f>
        <v>0</v>
      </c>
      <c r="G89" s="278">
        <f>AL26</f>
        <v>0</v>
      </c>
      <c r="H89" s="278">
        <f t="shared" si="9"/>
        <v>0</v>
      </c>
      <c r="I89" s="279" t="str">
        <f>IF(H89&gt;=5,1,"")</f>
        <v/>
      </c>
      <c r="J89" s="444"/>
      <c r="K89" s="65"/>
      <c r="AD89" s="3"/>
    </row>
    <row r="90" spans="2:30" x14ac:dyDescent="0.2">
      <c r="B90" s="387" t="s">
        <v>175</v>
      </c>
      <c r="C90" s="395" t="s">
        <v>243</v>
      </c>
      <c r="D90" s="395"/>
      <c r="E90" s="86" t="s">
        <v>0</v>
      </c>
      <c r="F90" s="274">
        <f>Y23</f>
        <v>0</v>
      </c>
      <c r="G90" s="274">
        <f>Y26</f>
        <v>0</v>
      </c>
      <c r="H90" s="274">
        <f t="shared" si="9"/>
        <v>0</v>
      </c>
      <c r="I90" s="275" t="str">
        <f>IF(H90&gt;=5,1,"")</f>
        <v/>
      </c>
      <c r="J90" s="445">
        <f>SUM(I90:I94)</f>
        <v>0</v>
      </c>
      <c r="K90" s="65"/>
      <c r="AD90" s="3"/>
    </row>
    <row r="91" spans="2:30" x14ac:dyDescent="0.2">
      <c r="B91" s="388"/>
      <c r="C91" s="396" t="s">
        <v>244</v>
      </c>
      <c r="D91" s="396"/>
      <c r="E91" s="87" t="s">
        <v>4</v>
      </c>
      <c r="F91" s="276">
        <f>AA23</f>
        <v>0</v>
      </c>
      <c r="G91" s="276">
        <f>AA26</f>
        <v>2</v>
      </c>
      <c r="H91" s="276">
        <f t="shared" si="9"/>
        <v>2</v>
      </c>
      <c r="I91" s="277" t="str">
        <f>IF(H91&gt;=8,1,"")</f>
        <v/>
      </c>
      <c r="J91" s="443"/>
      <c r="K91" s="65"/>
    </row>
    <row r="92" spans="2:30" x14ac:dyDescent="0.2">
      <c r="B92" s="388"/>
      <c r="C92" s="396" t="s">
        <v>245</v>
      </c>
      <c r="D92" s="396"/>
      <c r="E92" s="87" t="s">
        <v>20</v>
      </c>
      <c r="F92" s="276">
        <f>AD23</f>
        <v>0</v>
      </c>
      <c r="G92" s="276">
        <f>AD26</f>
        <v>1</v>
      </c>
      <c r="H92" s="276">
        <f t="shared" si="9"/>
        <v>1</v>
      </c>
      <c r="I92" s="277" t="str">
        <f>IF(H92&gt;=13,1,"")</f>
        <v/>
      </c>
      <c r="J92" s="443"/>
      <c r="K92" s="65"/>
      <c r="AD92" s="2"/>
    </row>
    <row r="93" spans="2:30" x14ac:dyDescent="0.2">
      <c r="B93" s="388"/>
      <c r="C93" s="396" t="s">
        <v>207</v>
      </c>
      <c r="D93" s="396"/>
      <c r="E93" s="87" t="s">
        <v>16</v>
      </c>
      <c r="F93" s="276">
        <f>AE23</f>
        <v>0</v>
      </c>
      <c r="G93" s="276">
        <f>AE26</f>
        <v>1</v>
      </c>
      <c r="H93" s="276">
        <f t="shared" si="9"/>
        <v>1</v>
      </c>
      <c r="I93" s="277" t="str">
        <f>IF(H93&gt;=7,1,"")</f>
        <v/>
      </c>
      <c r="J93" s="443"/>
      <c r="K93" s="65"/>
    </row>
    <row r="94" spans="2:30" ht="16.5" thickBot="1" x14ac:dyDescent="0.3">
      <c r="B94" s="389"/>
      <c r="C94" s="386" t="s">
        <v>246</v>
      </c>
      <c r="D94" s="386"/>
      <c r="E94" s="90" t="s">
        <v>2</v>
      </c>
      <c r="F94" s="278">
        <f>AL23</f>
        <v>0</v>
      </c>
      <c r="G94" s="278">
        <f>AL26</f>
        <v>0</v>
      </c>
      <c r="H94" s="278">
        <f t="shared" si="9"/>
        <v>0</v>
      </c>
      <c r="I94" s="279" t="str">
        <f>IF(H94&gt;=6,1,"")</f>
        <v/>
      </c>
      <c r="J94" s="444"/>
      <c r="AD94" s="1"/>
    </row>
    <row r="95" spans="2:30" x14ac:dyDescent="0.2">
      <c r="B95" s="387" t="s">
        <v>176</v>
      </c>
      <c r="C95" s="395" t="s">
        <v>247</v>
      </c>
      <c r="D95" s="395"/>
      <c r="E95" s="91" t="s">
        <v>3</v>
      </c>
      <c r="F95" s="274">
        <f>W23</f>
        <v>0</v>
      </c>
      <c r="G95" s="274" t="str">
        <f>W26</f>
        <v>0</v>
      </c>
      <c r="H95" s="274">
        <f t="shared" si="9"/>
        <v>0</v>
      </c>
      <c r="I95" s="275" t="str">
        <f>IF(H95&gt;=6,1,"")</f>
        <v/>
      </c>
      <c r="J95" s="445">
        <f>SUM(I95:I98)</f>
        <v>0</v>
      </c>
    </row>
    <row r="96" spans="2:30" x14ac:dyDescent="0.2">
      <c r="B96" s="388"/>
      <c r="C96" s="396" t="s">
        <v>248</v>
      </c>
      <c r="D96" s="396"/>
      <c r="E96" s="92" t="s">
        <v>20</v>
      </c>
      <c r="F96" s="276">
        <f>AD23</f>
        <v>0</v>
      </c>
      <c r="G96" s="276">
        <f>AD26</f>
        <v>1</v>
      </c>
      <c r="H96" s="276">
        <f t="shared" si="9"/>
        <v>1</v>
      </c>
      <c r="I96" s="277" t="str">
        <f>IF(H96&gt;=10,1,"")</f>
        <v/>
      </c>
      <c r="J96" s="443"/>
      <c r="AD96" s="2"/>
    </row>
    <row r="97" spans="2:33" x14ac:dyDescent="0.2">
      <c r="B97" s="388"/>
      <c r="C97" s="396" t="s">
        <v>249</v>
      </c>
      <c r="D97" s="396"/>
      <c r="E97" s="93" t="s">
        <v>32</v>
      </c>
      <c r="F97" s="276">
        <f>AJ23</f>
        <v>0</v>
      </c>
      <c r="G97" s="276">
        <f>AJ26</f>
        <v>0</v>
      </c>
      <c r="H97" s="276">
        <f t="shared" si="9"/>
        <v>0</v>
      </c>
      <c r="I97" s="277" t="str">
        <f>IF(H97&gt;=5,1,"")</f>
        <v/>
      </c>
      <c r="J97" s="443"/>
      <c r="AD97" s="2"/>
    </row>
    <row r="98" spans="2:33" ht="16.5" thickBot="1" x14ac:dyDescent="0.3">
      <c r="B98" s="389"/>
      <c r="C98" s="386" t="s">
        <v>250</v>
      </c>
      <c r="D98" s="386"/>
      <c r="E98" s="88" t="s">
        <v>251</v>
      </c>
      <c r="F98" s="278">
        <f>SUM(Y23,Z23,AA23)</f>
        <v>0</v>
      </c>
      <c r="G98" s="278">
        <f>SUM(Y26,Z26,AA26)</f>
        <v>3</v>
      </c>
      <c r="H98" s="278">
        <f t="shared" si="9"/>
        <v>3</v>
      </c>
      <c r="I98" s="279" t="str">
        <f>IF(H98&gt;=7,1,"")</f>
        <v/>
      </c>
      <c r="J98" s="444"/>
      <c r="AD98" s="2"/>
    </row>
    <row r="99" spans="2:33" ht="15.75" thickBot="1" x14ac:dyDescent="0.25"/>
    <row r="100" spans="2:33" ht="16.5" thickBot="1" x14ac:dyDescent="0.3">
      <c r="B100" s="231" t="s">
        <v>198</v>
      </c>
      <c r="C100" s="495" t="s">
        <v>352</v>
      </c>
      <c r="D100" s="496"/>
      <c r="E100" s="230">
        <f>F107-F112</f>
        <v>2</v>
      </c>
      <c r="F100" s="454" t="str">
        <f>IF(E100&gt;=2,"Риск депрессии",IF(E100&lt;0,"Нет риска депрессии",IF(E100=0,"Риск неопределен",IF(E100=1,"Риск неопределен",))))</f>
        <v>Риск депрессии</v>
      </c>
      <c r="G100" s="455"/>
      <c r="H100" s="456"/>
      <c r="AD100" s="64"/>
      <c r="AE100" s="63"/>
      <c r="AF100" s="65"/>
      <c r="AG100" s="65"/>
    </row>
    <row r="101" spans="2:33" x14ac:dyDescent="0.2">
      <c r="B101" s="493" t="s">
        <v>342</v>
      </c>
      <c r="C101" s="494"/>
      <c r="D101" s="229"/>
      <c r="E101" s="229"/>
      <c r="AD101" s="64"/>
      <c r="AE101" s="63"/>
      <c r="AF101" s="61"/>
      <c r="AG101" s="24"/>
    </row>
    <row r="102" spans="2:33" x14ac:dyDescent="0.2">
      <c r="B102" s="219" t="s">
        <v>199</v>
      </c>
      <c r="C102" s="223" t="s">
        <v>350</v>
      </c>
      <c r="D102" s="225"/>
      <c r="E102" s="5"/>
      <c r="AD102" s="62"/>
      <c r="AE102" s="12"/>
      <c r="AF102" s="61"/>
      <c r="AG102" s="24"/>
    </row>
    <row r="103" spans="2:33" x14ac:dyDescent="0.2">
      <c r="B103" s="217" t="s">
        <v>201</v>
      </c>
      <c r="C103" s="84" t="s">
        <v>345</v>
      </c>
      <c r="D103" s="215">
        <f>V28</f>
        <v>0</v>
      </c>
      <c r="E103" s="216">
        <f>IF(D103&lt;=2,1,"")</f>
        <v>1</v>
      </c>
      <c r="L103" s="55"/>
    </row>
    <row r="104" spans="2:33" x14ac:dyDescent="0.2">
      <c r="B104" s="217" t="s">
        <v>343</v>
      </c>
      <c r="C104" s="84" t="s">
        <v>346</v>
      </c>
      <c r="D104" s="216">
        <f>Z28</f>
        <v>1</v>
      </c>
      <c r="E104" s="216" t="str">
        <f>IF(D104&gt;=7,1,"")</f>
        <v/>
      </c>
    </row>
    <row r="105" spans="2:33" x14ac:dyDescent="0.2">
      <c r="B105" s="217" t="s">
        <v>203</v>
      </c>
      <c r="C105" s="84" t="s">
        <v>347</v>
      </c>
      <c r="D105" s="216">
        <f>AE28</f>
        <v>1</v>
      </c>
      <c r="E105" s="216">
        <f>IF(D105&lt;=2,1,"")</f>
        <v>1</v>
      </c>
    </row>
    <row r="106" spans="2:33" x14ac:dyDescent="0.2">
      <c r="B106" s="217" t="s">
        <v>281</v>
      </c>
      <c r="C106" s="215">
        <f>AI28</f>
        <v>0</v>
      </c>
      <c r="D106" s="215">
        <f>AH28</f>
        <v>0</v>
      </c>
      <c r="E106" s="216" t="str">
        <f>IF(C106&gt;D106,1,"")</f>
        <v/>
      </c>
    </row>
    <row r="107" spans="2:33" x14ac:dyDescent="0.2">
      <c r="B107" s="217" t="s">
        <v>344</v>
      </c>
      <c r="C107" s="215">
        <f>T41</f>
        <v>0</v>
      </c>
      <c r="D107" s="215">
        <f>U41</f>
        <v>0</v>
      </c>
      <c r="E107" s="216" t="str">
        <f>IF(AND(C31=1,C107&lt;D107),1,"")</f>
        <v/>
      </c>
      <c r="F107" s="216">
        <f>SUM(E103:E107)</f>
        <v>2</v>
      </c>
    </row>
    <row r="108" spans="2:33" x14ac:dyDescent="0.2">
      <c r="B108" s="220" t="s">
        <v>200</v>
      </c>
      <c r="C108" s="224" t="s">
        <v>351</v>
      </c>
      <c r="D108" s="227"/>
      <c r="E108" s="5"/>
    </row>
    <row r="109" spans="2:33" x14ac:dyDescent="0.2">
      <c r="B109" s="217" t="s">
        <v>205</v>
      </c>
      <c r="C109" s="218" t="s">
        <v>345</v>
      </c>
      <c r="D109" s="216">
        <f>V28</f>
        <v>0</v>
      </c>
      <c r="E109" s="216" t="str">
        <f>IF(D109&gt;=7,1,"")</f>
        <v/>
      </c>
    </row>
    <row r="110" spans="2:33" x14ac:dyDescent="0.2">
      <c r="B110" s="217" t="s">
        <v>206</v>
      </c>
      <c r="C110" s="218" t="s">
        <v>348</v>
      </c>
      <c r="D110" s="216">
        <f>AD28</f>
        <v>1</v>
      </c>
      <c r="E110" s="216" t="str">
        <f>IF(D110&gt;=7,1,"")</f>
        <v/>
      </c>
    </row>
    <row r="111" spans="2:33" x14ac:dyDescent="0.2">
      <c r="B111" s="217" t="s">
        <v>207</v>
      </c>
      <c r="C111" s="218" t="s">
        <v>347</v>
      </c>
      <c r="D111" s="216">
        <f>AE28</f>
        <v>1</v>
      </c>
      <c r="E111" s="216" t="str">
        <f>IF(D111&gt;=7,1,"")</f>
        <v/>
      </c>
    </row>
    <row r="112" spans="2:33" x14ac:dyDescent="0.2">
      <c r="B112" s="217" t="s">
        <v>208</v>
      </c>
      <c r="C112" s="221">
        <f>AH28</f>
        <v>0</v>
      </c>
      <c r="D112" s="216">
        <f>AI28</f>
        <v>0</v>
      </c>
      <c r="E112" s="216" t="str">
        <f>IF(C112-D112&gt;=4,1,"")</f>
        <v/>
      </c>
      <c r="F112" s="216">
        <f>SUM(E109:E112)</f>
        <v>0</v>
      </c>
    </row>
    <row r="113" spans="2:18" ht="102" x14ac:dyDescent="0.2">
      <c r="B113" s="222" t="s">
        <v>349</v>
      </c>
      <c r="L113" s="55"/>
    </row>
    <row r="114" spans="2:18" ht="15.75" thickBot="1" x14ac:dyDescent="0.25"/>
    <row r="115" spans="2:18" ht="15.75" thickBot="1" x14ac:dyDescent="0.25">
      <c r="B115" s="436" t="s">
        <v>373</v>
      </c>
      <c r="C115" s="478"/>
      <c r="D115" s="478"/>
      <c r="E115" s="478"/>
      <c r="F115" s="478"/>
      <c r="G115" s="478"/>
      <c r="H115" s="478"/>
      <c r="I115" s="478"/>
      <c r="J115" s="478"/>
      <c r="K115" s="478"/>
      <c r="L115" s="478"/>
      <c r="M115" s="478"/>
      <c r="N115" s="478"/>
      <c r="O115" s="478"/>
      <c r="P115" s="478"/>
      <c r="Q115" s="478"/>
      <c r="R115" s="479"/>
    </row>
    <row r="116" spans="2:18" ht="15.75" thickBot="1" x14ac:dyDescent="0.25">
      <c r="B116" s="362" t="s">
        <v>355</v>
      </c>
      <c r="C116" s="362"/>
      <c r="D116" s="362"/>
      <c r="E116" s="362"/>
      <c r="F116" s="362"/>
      <c r="G116" s="362"/>
      <c r="H116" s="8"/>
      <c r="I116" s="8"/>
      <c r="J116" s="8"/>
      <c r="K116" s="8"/>
      <c r="L116" s="8"/>
      <c r="M116" s="8"/>
      <c r="N116" s="8"/>
      <c r="O116" s="8"/>
      <c r="P116" s="8"/>
      <c r="Q116" s="8"/>
      <c r="R116" s="8"/>
    </row>
    <row r="117" spans="2:18" ht="15.75" thickBot="1" x14ac:dyDescent="0.25">
      <c r="B117" s="289" t="s">
        <v>356</v>
      </c>
      <c r="C117" s="372" t="s">
        <v>357</v>
      </c>
      <c r="D117" s="372"/>
      <c r="E117" s="372"/>
      <c r="F117" s="360" t="s">
        <v>352</v>
      </c>
      <c r="G117" s="361"/>
      <c r="H117" s="377" t="s">
        <v>421</v>
      </c>
      <c r="I117" s="483"/>
      <c r="J117" s="378"/>
      <c r="M117" s="329" t="str">
        <f>AC34</f>
        <v/>
      </c>
      <c r="O117" s="333" t="e">
        <f>INDEX(N118:N128,MATCH(M117,M118:M128,0))</f>
        <v>#N/A</v>
      </c>
    </row>
    <row r="118" spans="2:18" x14ac:dyDescent="0.2">
      <c r="B118" s="363" t="s">
        <v>358</v>
      </c>
      <c r="C118" s="365" t="s">
        <v>359</v>
      </c>
      <c r="D118" s="365"/>
      <c r="E118" s="234" t="s">
        <v>346</v>
      </c>
      <c r="F118" s="241">
        <f>Z28</f>
        <v>1</v>
      </c>
      <c r="G118" s="254" t="str">
        <f t="shared" ref="G118:G131" si="10">IF(F118&gt;=6,1,"0")</f>
        <v>0</v>
      </c>
      <c r="H118" s="443">
        <f>SUM(G118:G120)</f>
        <v>0</v>
      </c>
      <c r="I118" s="8"/>
      <c r="J118" s="8"/>
      <c r="M118" s="325" t="s">
        <v>511</v>
      </c>
      <c r="N118" s="325">
        <f>H118</f>
        <v>0</v>
      </c>
    </row>
    <row r="119" spans="2:18" x14ac:dyDescent="0.2">
      <c r="B119" s="371"/>
      <c r="C119" s="373" t="s">
        <v>360</v>
      </c>
      <c r="D119" s="373"/>
      <c r="E119" s="84" t="s">
        <v>375</v>
      </c>
      <c r="F119" s="228">
        <f>AA28</f>
        <v>2</v>
      </c>
      <c r="G119" s="255" t="str">
        <f t="shared" si="10"/>
        <v>0</v>
      </c>
      <c r="H119" s="443"/>
      <c r="M119" s="325" t="s">
        <v>512</v>
      </c>
      <c r="N119" s="325" t="str">
        <f>H121</f>
        <v>0</v>
      </c>
    </row>
    <row r="120" spans="2:18" ht="15.75" thickBot="1" x14ac:dyDescent="0.25">
      <c r="B120" s="364"/>
      <c r="C120" s="366" t="s">
        <v>361</v>
      </c>
      <c r="D120" s="366"/>
      <c r="E120" s="235" t="s">
        <v>376</v>
      </c>
      <c r="F120" s="242">
        <f>AB28</f>
        <v>2</v>
      </c>
      <c r="G120" s="256" t="str">
        <f t="shared" si="10"/>
        <v>0</v>
      </c>
      <c r="H120" s="444"/>
      <c r="M120" s="325" t="s">
        <v>513</v>
      </c>
      <c r="N120" s="325"/>
    </row>
    <row r="121" spans="2:18" ht="15.75" thickBot="1" x14ac:dyDescent="0.25">
      <c r="B121" s="286" t="s">
        <v>362</v>
      </c>
      <c r="C121" s="367" t="s">
        <v>361</v>
      </c>
      <c r="D121" s="367"/>
      <c r="E121" s="236" t="s">
        <v>376</v>
      </c>
      <c r="F121" s="243">
        <f>AB28</f>
        <v>2</v>
      </c>
      <c r="G121" s="257" t="str">
        <f t="shared" si="10"/>
        <v>0</v>
      </c>
      <c r="H121" s="230" t="str">
        <f>G121</f>
        <v>0</v>
      </c>
      <c r="M121" s="325" t="s">
        <v>514</v>
      </c>
      <c r="N121" s="325"/>
    </row>
    <row r="122" spans="2:18" x14ac:dyDescent="0.2">
      <c r="B122" s="363" t="s">
        <v>363</v>
      </c>
      <c r="C122" s="365" t="s">
        <v>238</v>
      </c>
      <c r="D122" s="365"/>
      <c r="E122" s="237" t="s">
        <v>353</v>
      </c>
      <c r="F122" s="244">
        <f>AC28</f>
        <v>1</v>
      </c>
      <c r="G122" s="258" t="str">
        <f t="shared" si="10"/>
        <v>0</v>
      </c>
      <c r="H122" s="445">
        <f>SUM(G122:G123)</f>
        <v>0</v>
      </c>
      <c r="M122" s="325" t="s">
        <v>515</v>
      </c>
      <c r="N122" s="325">
        <f>H122</f>
        <v>0</v>
      </c>
    </row>
    <row r="123" spans="2:18" ht="15.75" thickBot="1" x14ac:dyDescent="0.25">
      <c r="B123" s="364"/>
      <c r="C123" s="366" t="s">
        <v>364</v>
      </c>
      <c r="D123" s="366"/>
      <c r="E123" s="235" t="s">
        <v>348</v>
      </c>
      <c r="F123" s="242">
        <f>AD28</f>
        <v>1</v>
      </c>
      <c r="G123" s="256" t="str">
        <f t="shared" si="10"/>
        <v>0</v>
      </c>
      <c r="H123" s="444"/>
      <c r="M123" s="325" t="s">
        <v>516</v>
      </c>
      <c r="N123" s="325" t="str">
        <f>H124</f>
        <v>0</v>
      </c>
    </row>
    <row r="124" spans="2:18" ht="15.75" thickBot="1" x14ac:dyDescent="0.25">
      <c r="B124" s="286" t="s">
        <v>365</v>
      </c>
      <c r="C124" s="367" t="s">
        <v>366</v>
      </c>
      <c r="D124" s="367"/>
      <c r="E124" s="236" t="s">
        <v>347</v>
      </c>
      <c r="F124" s="243">
        <f>AE28</f>
        <v>1</v>
      </c>
      <c r="G124" s="257" t="str">
        <f t="shared" si="10"/>
        <v>0</v>
      </c>
      <c r="H124" s="230" t="str">
        <f>G124</f>
        <v>0</v>
      </c>
      <c r="M124" s="325" t="s">
        <v>517</v>
      </c>
      <c r="N124" s="325">
        <f>H125</f>
        <v>0</v>
      </c>
    </row>
    <row r="125" spans="2:18" x14ac:dyDescent="0.2">
      <c r="B125" s="363" t="s">
        <v>367</v>
      </c>
      <c r="C125" s="365" t="s">
        <v>368</v>
      </c>
      <c r="D125" s="365"/>
      <c r="E125" s="237" t="s">
        <v>345</v>
      </c>
      <c r="F125" s="244">
        <f>V28</f>
        <v>0</v>
      </c>
      <c r="G125" s="258" t="str">
        <f t="shared" si="10"/>
        <v>0</v>
      </c>
      <c r="H125" s="445">
        <f>SUM(G125:G126)</f>
        <v>0</v>
      </c>
      <c r="M125" s="325" t="s">
        <v>518</v>
      </c>
      <c r="N125" s="325" t="str">
        <f>H127</f>
        <v>0</v>
      </c>
    </row>
    <row r="126" spans="2:18" ht="15.75" thickBot="1" x14ac:dyDescent="0.25">
      <c r="B126" s="364"/>
      <c r="C126" s="366" t="s">
        <v>247</v>
      </c>
      <c r="D126" s="366"/>
      <c r="E126" s="235" t="s">
        <v>377</v>
      </c>
      <c r="F126" s="242">
        <f>W28</f>
        <v>0</v>
      </c>
      <c r="G126" s="256" t="str">
        <f t="shared" si="10"/>
        <v>0</v>
      </c>
      <c r="H126" s="444"/>
      <c r="M126" s="325" t="s">
        <v>519</v>
      </c>
      <c r="N126" s="325" t="str">
        <f>H129</f>
        <v>0</v>
      </c>
    </row>
    <row r="127" spans="2:18" ht="15.75" thickBot="1" x14ac:dyDescent="0.25">
      <c r="B127" s="286" t="s">
        <v>369</v>
      </c>
      <c r="C127" s="367" t="s">
        <v>359</v>
      </c>
      <c r="D127" s="367"/>
      <c r="E127" s="238" t="s">
        <v>346</v>
      </c>
      <c r="F127" s="243">
        <f>Z28</f>
        <v>1</v>
      </c>
      <c r="G127" s="257" t="str">
        <f t="shared" si="10"/>
        <v>0</v>
      </c>
      <c r="H127" s="326" t="str">
        <f>G127</f>
        <v>0</v>
      </c>
      <c r="M127" s="325" t="s">
        <v>520</v>
      </c>
      <c r="N127" s="325"/>
    </row>
    <row r="128" spans="2:18" ht="15.75" thickBot="1" x14ac:dyDescent="0.25">
      <c r="B128" s="286" t="s">
        <v>370</v>
      </c>
      <c r="C128" s="370" t="s">
        <v>359</v>
      </c>
      <c r="D128" s="367"/>
      <c r="E128" s="236" t="s">
        <v>346</v>
      </c>
      <c r="F128" s="243">
        <f>Z28</f>
        <v>1</v>
      </c>
      <c r="G128" s="257" t="str">
        <f t="shared" si="10"/>
        <v>0</v>
      </c>
      <c r="H128" s="327" t="str">
        <f>G128</f>
        <v>0</v>
      </c>
      <c r="M128" s="325" t="s">
        <v>521</v>
      </c>
      <c r="N128" s="325" t="str">
        <f>H128</f>
        <v>0</v>
      </c>
    </row>
    <row r="129" spans="2:10" ht="15.75" thickBot="1" x14ac:dyDescent="0.25">
      <c r="B129" s="286" t="s">
        <v>371</v>
      </c>
      <c r="C129" s="367" t="s">
        <v>360</v>
      </c>
      <c r="D129" s="367"/>
      <c r="E129" s="236" t="s">
        <v>375</v>
      </c>
      <c r="F129" s="243">
        <f>AA28</f>
        <v>2</v>
      </c>
      <c r="G129" s="257" t="str">
        <f t="shared" si="10"/>
        <v>0</v>
      </c>
      <c r="H129" s="327" t="str">
        <f>G129</f>
        <v>0</v>
      </c>
    </row>
    <row r="130" spans="2:10" x14ac:dyDescent="0.2">
      <c r="B130" s="368" t="s">
        <v>372</v>
      </c>
      <c r="C130" s="365" t="s">
        <v>359</v>
      </c>
      <c r="D130" s="365"/>
      <c r="E130" s="234" t="s">
        <v>346</v>
      </c>
      <c r="F130" s="244">
        <f>Z28</f>
        <v>1</v>
      </c>
      <c r="G130" s="258" t="str">
        <f t="shared" si="10"/>
        <v>0</v>
      </c>
      <c r="H130" s="445">
        <f>SUM(G130:G131)</f>
        <v>0</v>
      </c>
    </row>
    <row r="131" spans="2:10" ht="15.75" thickBot="1" x14ac:dyDescent="0.25">
      <c r="B131" s="369"/>
      <c r="C131" s="366" t="s">
        <v>360</v>
      </c>
      <c r="D131" s="366"/>
      <c r="E131" s="235" t="s">
        <v>375</v>
      </c>
      <c r="F131" s="242">
        <f>AA28</f>
        <v>2</v>
      </c>
      <c r="G131" s="256" t="str">
        <f t="shared" si="10"/>
        <v>0</v>
      </c>
      <c r="H131" s="444"/>
    </row>
    <row r="132" spans="2:10" ht="15.75" thickBot="1" x14ac:dyDescent="0.25"/>
    <row r="133" spans="2:10" ht="15.75" thickBot="1" x14ac:dyDescent="0.25">
      <c r="B133" s="357" t="s">
        <v>378</v>
      </c>
      <c r="C133" s="358"/>
      <c r="D133" s="358"/>
      <c r="E133" s="358"/>
      <c r="F133" s="358"/>
      <c r="G133" s="358"/>
      <c r="H133" s="358"/>
      <c r="I133" s="359"/>
      <c r="J133" s="8"/>
    </row>
    <row r="134" spans="2:10" ht="26.25" thickBot="1" x14ac:dyDescent="0.25">
      <c r="B134" s="290" t="s">
        <v>379</v>
      </c>
      <c r="C134" s="484" t="s">
        <v>352</v>
      </c>
      <c r="D134" s="485"/>
      <c r="E134" s="486"/>
      <c r="F134" s="249" t="e">
        <f>F139-F145</f>
        <v>#N/A</v>
      </c>
      <c r="G134" s="490" t="e">
        <f>IF(F134&gt;=1,"Попытка истинная",IF(F134&lt;0,"Попытка демонстративная",IF(F134=0,"Риск неопределен",)))</f>
        <v>#N/A</v>
      </c>
      <c r="H134" s="491"/>
      <c r="I134" s="491"/>
      <c r="J134" s="492"/>
    </row>
    <row r="135" spans="2:10" x14ac:dyDescent="0.2">
      <c r="B135" s="250" t="s">
        <v>359</v>
      </c>
      <c r="C135" s="291" t="s">
        <v>346</v>
      </c>
      <c r="D135" s="292">
        <f>Z28</f>
        <v>1</v>
      </c>
      <c r="E135" s="292" t="str">
        <f>IF(D135&gt;=6,1,"")</f>
        <v/>
      </c>
    </row>
    <row r="136" spans="2:10" x14ac:dyDescent="0.2">
      <c r="B136" s="251" t="s">
        <v>380</v>
      </c>
      <c r="C136" s="84" t="s">
        <v>347</v>
      </c>
      <c r="D136" s="216">
        <f>AE28</f>
        <v>1</v>
      </c>
      <c r="E136" s="216" t="str">
        <f>IF(D136&gt;=2,1,"")</f>
        <v/>
      </c>
    </row>
    <row r="137" spans="2:10" x14ac:dyDescent="0.2">
      <c r="B137" s="250" t="s">
        <v>281</v>
      </c>
      <c r="C137" s="216">
        <f>C106</f>
        <v>0</v>
      </c>
      <c r="D137" s="216">
        <f>D106</f>
        <v>0</v>
      </c>
      <c r="E137" s="216" t="str">
        <f>IF(C137&gt;D137,1,"")</f>
        <v/>
      </c>
    </row>
    <row r="138" spans="2:10" x14ac:dyDescent="0.2">
      <c r="B138" s="250" t="s">
        <v>385</v>
      </c>
      <c r="C138" s="84" t="s">
        <v>384</v>
      </c>
      <c r="D138" s="216">
        <f>E100</f>
        <v>2</v>
      </c>
      <c r="E138" s="247">
        <f>IF(D138&gt;=2,1,"")</f>
        <v>1</v>
      </c>
    </row>
    <row r="139" spans="2:10" x14ac:dyDescent="0.2">
      <c r="B139" s="250" t="s">
        <v>386</v>
      </c>
      <c r="C139" s="446" t="s">
        <v>391</v>
      </c>
      <c r="D139" s="447"/>
      <c r="E139" s="347" t="e">
        <f>O117</f>
        <v>#N/A</v>
      </c>
      <c r="F139" s="259" t="e">
        <f>SUM(E135:E139)</f>
        <v>#N/A</v>
      </c>
    </row>
    <row r="140" spans="2:10" ht="25.5" x14ac:dyDescent="0.2">
      <c r="B140" s="252" t="s">
        <v>382</v>
      </c>
    </row>
    <row r="141" spans="2:10" x14ac:dyDescent="0.2">
      <c r="B141" s="251" t="s">
        <v>205</v>
      </c>
      <c r="C141" s="84" t="s">
        <v>345</v>
      </c>
      <c r="D141" s="216">
        <f>V28</f>
        <v>0</v>
      </c>
      <c r="E141" s="216" t="str">
        <f>IF(D141&gt;=7,1,"")</f>
        <v/>
      </c>
    </row>
    <row r="142" spans="2:10" x14ac:dyDescent="0.2">
      <c r="B142" s="251" t="s">
        <v>381</v>
      </c>
      <c r="C142" s="84" t="s">
        <v>346</v>
      </c>
      <c r="D142" s="216">
        <f>Z28</f>
        <v>1</v>
      </c>
      <c r="E142" s="216">
        <f>IF(D142&lt;=3,1,"")</f>
        <v>1</v>
      </c>
    </row>
    <row r="143" spans="2:10" x14ac:dyDescent="0.2">
      <c r="B143" s="251" t="s">
        <v>206</v>
      </c>
      <c r="C143" s="84" t="s">
        <v>348</v>
      </c>
      <c r="D143" s="216">
        <f>AD28</f>
        <v>1</v>
      </c>
      <c r="E143" s="216" t="str">
        <f>IF(D143&gt;=7,1,"")</f>
        <v/>
      </c>
    </row>
    <row r="144" spans="2:10" x14ac:dyDescent="0.2">
      <c r="B144" s="251" t="s">
        <v>366</v>
      </c>
      <c r="C144" s="84" t="s">
        <v>347</v>
      </c>
      <c r="D144" s="216">
        <f>AE28</f>
        <v>1</v>
      </c>
      <c r="E144" s="216" t="str">
        <f>IF(D144&gt;=6,1,"")</f>
        <v/>
      </c>
    </row>
    <row r="145" spans="2:21" ht="15.75" thickBot="1" x14ac:dyDescent="0.25">
      <c r="B145" s="253" t="s">
        <v>383</v>
      </c>
      <c r="C145" s="246" t="s">
        <v>384</v>
      </c>
      <c r="D145" s="247">
        <f>E100</f>
        <v>2</v>
      </c>
      <c r="E145" s="248">
        <f>IF(D145&lt;=2,1,"")</f>
        <v>1</v>
      </c>
      <c r="F145" s="247">
        <f>SUM(E141:E145)</f>
        <v>2</v>
      </c>
      <c r="G145" s="8"/>
      <c r="H145" s="8"/>
      <c r="I145" s="8"/>
      <c r="J145" s="8"/>
      <c r="K145" s="8"/>
      <c r="L145" s="8"/>
      <c r="M145" s="8"/>
      <c r="N145" s="8"/>
      <c r="O145" s="8"/>
      <c r="P145" s="8"/>
      <c r="Q145" s="8"/>
      <c r="R145" s="8"/>
      <c r="S145" s="8"/>
      <c r="T145" s="8"/>
      <c r="U145" s="8"/>
    </row>
    <row r="146" spans="2:21" ht="15.75" thickBot="1" x14ac:dyDescent="0.25">
      <c r="B146" s="487" t="s">
        <v>387</v>
      </c>
      <c r="C146" s="488"/>
      <c r="D146" s="488"/>
      <c r="E146" s="488"/>
      <c r="F146" s="488"/>
      <c r="G146" s="488"/>
      <c r="H146" s="488"/>
      <c r="I146" s="488"/>
      <c r="J146" s="488"/>
      <c r="K146" s="488"/>
      <c r="L146" s="488"/>
      <c r="M146" s="488"/>
      <c r="N146" s="488"/>
      <c r="O146" s="488"/>
      <c r="P146" s="488"/>
      <c r="Q146" s="488"/>
      <c r="R146" s="488"/>
      <c r="S146" s="488"/>
      <c r="T146" s="488"/>
      <c r="U146" s="489"/>
    </row>
    <row r="147" spans="2:21" ht="15.75" thickBot="1" x14ac:dyDescent="0.25"/>
    <row r="148" spans="2:21" ht="15.75" thickBot="1" x14ac:dyDescent="0.25">
      <c r="B148" s="261" t="s">
        <v>417</v>
      </c>
      <c r="C148" s="262" t="s">
        <v>419</v>
      </c>
      <c r="D148" s="230" t="str">
        <f>IF(C31=1,"муж.",IF(C31=2,"жен.",""))</f>
        <v>муж.</v>
      </c>
      <c r="E148" s="263" t="s">
        <v>418</v>
      </c>
      <c r="F148" s="230" t="str">
        <f>IF(D148="муж.","",IF(D148="жен.",E178,""))</f>
        <v/>
      </c>
      <c r="G148" s="454" t="str">
        <f>IF(D148="муж.","",IF(D148="жен.",F178,""))</f>
        <v/>
      </c>
      <c r="H148" s="455"/>
      <c r="I148" s="456"/>
    </row>
    <row r="149" spans="2:21" ht="15.75" thickBot="1" x14ac:dyDescent="0.25">
      <c r="B149" s="507" t="s">
        <v>388</v>
      </c>
      <c r="C149" s="508"/>
      <c r="D149" s="508"/>
      <c r="E149" s="508"/>
      <c r="F149" s="509"/>
    </row>
    <row r="150" spans="2:21" ht="15.75" thickBot="1" x14ac:dyDescent="0.25">
      <c r="B150" s="269" t="s">
        <v>390</v>
      </c>
      <c r="C150" s="8"/>
      <c r="D150" s="8"/>
      <c r="E150" s="8"/>
      <c r="F150" s="8"/>
    </row>
    <row r="151" spans="2:21" ht="15.75" thickBot="1" x14ac:dyDescent="0.25">
      <c r="B151" s="270" t="s">
        <v>392</v>
      </c>
    </row>
    <row r="152" spans="2:21" x14ac:dyDescent="0.2">
      <c r="B152" s="271" t="s">
        <v>394</v>
      </c>
      <c r="C152" s="216" t="str">
        <f>IF(C10=13,1,IF(D10=13,1,IF(E10=13,1,"")))</f>
        <v/>
      </c>
      <c r="H152" s="55"/>
    </row>
    <row r="153" spans="2:21" x14ac:dyDescent="0.2">
      <c r="B153" s="272" t="s">
        <v>395</v>
      </c>
      <c r="C153" s="216" t="str">
        <f>IF(C14=13,1,IF(D14=13,1,IF(E14=13,1,"")))</f>
        <v/>
      </c>
    </row>
    <row r="154" spans="2:21" x14ac:dyDescent="0.2">
      <c r="B154" s="272" t="s">
        <v>396</v>
      </c>
      <c r="C154" s="216" t="str">
        <f>IF(C24=10,1,IF(D24=10,1,IF(E24=10,1,"")))</f>
        <v/>
      </c>
    </row>
    <row r="155" spans="2:21" x14ac:dyDescent="0.2">
      <c r="B155" s="272" t="s">
        <v>397</v>
      </c>
      <c r="C155" s="216" t="str">
        <f>IF(C26=4,1,IF(D26=4,1,IF(E26=4,1,"")))</f>
        <v/>
      </c>
    </row>
    <row r="156" spans="2:21" ht="15.75" thickBot="1" x14ac:dyDescent="0.25">
      <c r="B156" s="239" t="s">
        <v>398</v>
      </c>
      <c r="C156" s="216" t="str">
        <f>IF(C28=1,1,IF(D28=1,1,IF(E28=1,1,"")))</f>
        <v/>
      </c>
    </row>
    <row r="157" spans="2:21" ht="15.75" thickBot="1" x14ac:dyDescent="0.25">
      <c r="B157" s="268" t="s">
        <v>393</v>
      </c>
      <c r="C157" s="216" t="str">
        <f>IF(F10=6,1,IF(G10=6,1,IF(H10=6,1,"")))</f>
        <v/>
      </c>
    </row>
    <row r="158" spans="2:21" x14ac:dyDescent="0.2">
      <c r="B158" s="271" t="s">
        <v>399</v>
      </c>
      <c r="C158" s="216" t="str">
        <f>IF(F10=9,1,IF(G10=9,1,IF(H10=9,1,"")))</f>
        <v/>
      </c>
    </row>
    <row r="159" spans="2:21" x14ac:dyDescent="0.2">
      <c r="B159" s="272" t="s">
        <v>400</v>
      </c>
      <c r="C159" s="216" t="str">
        <f>IF(F11=2,1,IF(G11=2,1,IF(H11=2,1,"")))</f>
        <v/>
      </c>
    </row>
    <row r="160" spans="2:21" x14ac:dyDescent="0.2">
      <c r="B160" s="272" t="s">
        <v>401</v>
      </c>
      <c r="C160" s="216" t="str">
        <f>IF(F24=9,1,IF(G24=9,1,IF(H24=9,1,"")))</f>
        <v/>
      </c>
    </row>
    <row r="161" spans="2:6" ht="15.75" thickBot="1" x14ac:dyDescent="0.25">
      <c r="B161" s="272" t="s">
        <v>402</v>
      </c>
      <c r="C161" s="216" t="str">
        <f>IF(F26=8,1,IF(G26=8,1,IF(H26=8,1,"")))</f>
        <v/>
      </c>
    </row>
    <row r="162" spans="2:6" ht="15.75" thickBot="1" x14ac:dyDescent="0.25">
      <c r="B162" s="272" t="s">
        <v>403</v>
      </c>
      <c r="C162" s="245" t="str">
        <f>IF(F28=6,1,IF(G28=6,1,IF(H28=6,1,"")))</f>
        <v/>
      </c>
      <c r="D162" s="230">
        <f>SUM(C152:C162)</f>
        <v>0</v>
      </c>
    </row>
    <row r="163" spans="2:6" ht="15.75" thickBot="1" x14ac:dyDescent="0.25">
      <c r="B163" s="503" t="s">
        <v>389</v>
      </c>
      <c r="C163" s="504"/>
      <c r="D163" s="505"/>
      <c r="E163" s="505"/>
      <c r="F163" s="506"/>
    </row>
    <row r="164" spans="2:6" ht="15.75" thickBot="1" x14ac:dyDescent="0.25">
      <c r="B164" s="264" t="s">
        <v>392</v>
      </c>
      <c r="C164" s="8"/>
      <c r="D164" s="8"/>
      <c r="E164" s="8"/>
      <c r="F164" s="8"/>
    </row>
    <row r="165" spans="2:6" x14ac:dyDescent="0.2">
      <c r="B165" s="265" t="s">
        <v>405</v>
      </c>
      <c r="C165" s="216" t="str">
        <f>IF(C6=8,1,IF(D6=8,1,IF(E6=8,1,"")))</f>
        <v/>
      </c>
    </row>
    <row r="166" spans="2:6" x14ac:dyDescent="0.2">
      <c r="B166" s="266" t="s">
        <v>404</v>
      </c>
      <c r="C166" s="216" t="str">
        <f>IF(C7=11,1,IF(D7=11,1,IF(E7=11,1,"")))</f>
        <v/>
      </c>
    </row>
    <row r="167" spans="2:6" x14ac:dyDescent="0.2">
      <c r="B167" s="266" t="s">
        <v>406</v>
      </c>
      <c r="C167" s="216" t="str">
        <f>IF(C10=7,1,IF(D10=7,1,IF(E10=7,1,"")))</f>
        <v/>
      </c>
    </row>
    <row r="168" spans="2:6" x14ac:dyDescent="0.2">
      <c r="B168" s="266" t="s">
        <v>407</v>
      </c>
      <c r="C168" s="216" t="str">
        <f>IF(C12=8,1,IF(D12=8,1,IF(E12=8,1,"")))</f>
        <v/>
      </c>
    </row>
    <row r="169" spans="2:6" x14ac:dyDescent="0.2">
      <c r="B169" s="266" t="s">
        <v>408</v>
      </c>
      <c r="C169" s="216" t="str">
        <f>IF(C14=3,1,IF(D14=3,1,IF(E14=3,1,"")))</f>
        <v/>
      </c>
    </row>
    <row r="170" spans="2:6" x14ac:dyDescent="0.2">
      <c r="B170" s="266" t="s">
        <v>409</v>
      </c>
      <c r="C170" s="216" t="str">
        <f>IF(C16=9,1,IF(D16=9,1,IF(E16=9,1,"")))</f>
        <v/>
      </c>
    </row>
    <row r="171" spans="2:6" x14ac:dyDescent="0.2">
      <c r="B171" s="266" t="s">
        <v>410</v>
      </c>
      <c r="C171" s="216" t="str">
        <f>IF(C18=11,1,IF(D18=11,1,IF(E18=11,1,"")))</f>
        <v/>
      </c>
    </row>
    <row r="172" spans="2:6" x14ac:dyDescent="0.2">
      <c r="B172" s="266" t="s">
        <v>411</v>
      </c>
      <c r="C172" s="216" t="str">
        <f>IF(C20=3,1,IF(D20=3,1,IF(E20=3,1,"")))</f>
        <v/>
      </c>
    </row>
    <row r="173" spans="2:6" x14ac:dyDescent="0.2">
      <c r="B173" s="266" t="s">
        <v>412</v>
      </c>
      <c r="C173" s="216" t="str">
        <f>IF(C21=13,1,IF(D21=13,1,IF(E21=13,1,"")))</f>
        <v/>
      </c>
    </row>
    <row r="174" spans="2:6" ht="15.75" thickBot="1" x14ac:dyDescent="0.25">
      <c r="B174" s="267" t="s">
        <v>413</v>
      </c>
      <c r="C174" s="216" t="str">
        <f>IF(C23=7,1,IF(D23=7,1,IF(E23=7,1,"")))</f>
        <v/>
      </c>
    </row>
    <row r="175" spans="2:6" ht="15.75" thickBot="1" x14ac:dyDescent="0.25">
      <c r="B175" s="268" t="s">
        <v>393</v>
      </c>
      <c r="C175" s="125"/>
    </row>
    <row r="176" spans="2:6" x14ac:dyDescent="0.2">
      <c r="B176" s="265" t="s">
        <v>414</v>
      </c>
      <c r="C176" s="216" t="str">
        <f>IF(F7=8,1,IF(G7=8,1,IF(H7=8,1,"")))</f>
        <v/>
      </c>
    </row>
    <row r="177" spans="2:15" ht="15.75" thickBot="1" x14ac:dyDescent="0.25">
      <c r="B177" s="266" t="s">
        <v>415</v>
      </c>
      <c r="C177" s="215" t="str">
        <f>IF(F9=11,1,IF(G9=11,1,IF(H9=11,1,"")))</f>
        <v/>
      </c>
    </row>
    <row r="178" spans="2:15" ht="15.75" thickBot="1" x14ac:dyDescent="0.25">
      <c r="B178" s="267" t="s">
        <v>416</v>
      </c>
      <c r="C178" s="248" t="str">
        <f>IF(F26=7,1,IF(G26=7,1,IF(H26=7,1,"")))</f>
        <v/>
      </c>
      <c r="D178" s="273">
        <f>SUM(C165:C178)</f>
        <v>0</v>
      </c>
      <c r="E178" s="293">
        <f>D162-D178</f>
        <v>0</v>
      </c>
      <c r="F178" s="454" t="str">
        <f>IF(E178&gt;=1,"риск высокий",IF(E178&lt;=-3,"риск отсутствует,",IF(E178=0,"результат неясен,",IF(E178=-1,"результат неясен,",IF(E178=-2,"результат неясен,","")))))</f>
        <v>результат неясен,</v>
      </c>
      <c r="G178" s="456"/>
      <c r="H178" s="8"/>
      <c r="I178" s="8"/>
      <c r="J178" s="8"/>
      <c r="K178" s="8"/>
      <c r="L178" s="8"/>
      <c r="M178" s="8"/>
    </row>
    <row r="179" spans="2:15" ht="15.75" thickBot="1" x14ac:dyDescent="0.25">
      <c r="B179" s="374" t="s">
        <v>420</v>
      </c>
      <c r="C179" s="375"/>
      <c r="D179" s="375"/>
      <c r="E179" s="375"/>
      <c r="F179" s="375"/>
      <c r="G179" s="375"/>
      <c r="H179" s="375"/>
      <c r="I179" s="375"/>
      <c r="J179" s="375"/>
      <c r="K179" s="375"/>
      <c r="L179" s="375"/>
      <c r="M179" s="376"/>
    </row>
    <row r="180" spans="2:15" ht="15.75" thickBot="1" x14ac:dyDescent="0.25">
      <c r="B180" s="55"/>
    </row>
    <row r="181" spans="2:15" ht="15.75" thickBot="1" x14ac:dyDescent="0.25">
      <c r="B181" s="472" t="s">
        <v>423</v>
      </c>
      <c r="C181" s="473"/>
      <c r="D181" s="474"/>
    </row>
    <row r="182" spans="2:15" ht="15.75" thickBot="1" x14ac:dyDescent="0.25">
      <c r="B182" s="260" t="s">
        <v>424</v>
      </c>
      <c r="C182" s="8"/>
      <c r="D182" s="8"/>
      <c r="E182" s="8"/>
      <c r="F182" s="8"/>
      <c r="G182" s="8"/>
      <c r="H182" s="282" t="s">
        <v>448</v>
      </c>
      <c r="I182" s="281"/>
      <c r="M182" s="329" t="str">
        <f>AC34</f>
        <v/>
      </c>
    </row>
    <row r="183" spans="2:15" ht="15.75" thickBot="1" x14ac:dyDescent="0.25">
      <c r="B183" s="475" t="s">
        <v>358</v>
      </c>
      <c r="C183" s="501" t="s">
        <v>425</v>
      </c>
      <c r="D183" s="502"/>
      <c r="E183" s="237" t="s">
        <v>347</v>
      </c>
      <c r="F183" s="283">
        <f>AE28</f>
        <v>1</v>
      </c>
      <c r="G183" s="283" t="str">
        <f>IF(F183&gt;=10,1,"")</f>
        <v/>
      </c>
      <c r="H183" s="480">
        <f>SUM(G183:G185)</f>
        <v>1</v>
      </c>
      <c r="I183" s="8"/>
      <c r="M183" s="325" t="s">
        <v>511</v>
      </c>
      <c r="N183" s="331">
        <f>H183</f>
        <v>1</v>
      </c>
      <c r="O183" s="332" t="e">
        <f>INDEX(N183:N193,MATCH(M182,M183:M193,0))</f>
        <v>#N/A</v>
      </c>
    </row>
    <row r="184" spans="2:15" x14ac:dyDescent="0.2">
      <c r="B184" s="476"/>
      <c r="C184" s="499" t="s">
        <v>277</v>
      </c>
      <c r="D184" s="500"/>
      <c r="E184" s="84" t="s">
        <v>331</v>
      </c>
      <c r="F184" s="216">
        <f>AF28</f>
        <v>0</v>
      </c>
      <c r="G184" s="216">
        <f>IF(F184=0,1,"")</f>
        <v>1</v>
      </c>
      <c r="H184" s="481"/>
      <c r="M184" s="325" t="s">
        <v>512</v>
      </c>
      <c r="N184" s="325"/>
    </row>
    <row r="185" spans="2:15" ht="15.75" thickBot="1" x14ac:dyDescent="0.25">
      <c r="B185" s="477"/>
      <c r="C185" s="510" t="s">
        <v>426</v>
      </c>
      <c r="D185" s="511"/>
      <c r="E185" s="235" t="s">
        <v>310</v>
      </c>
      <c r="F185" s="284">
        <f>AK28</f>
        <v>0</v>
      </c>
      <c r="G185" s="284" t="str">
        <f>IF(F185&gt;=6,1,"")</f>
        <v/>
      </c>
      <c r="H185" s="482"/>
      <c r="M185" s="325" t="s">
        <v>513</v>
      </c>
      <c r="N185" s="325">
        <f>H186</f>
        <v>1</v>
      </c>
    </row>
    <row r="186" spans="2:15" x14ac:dyDescent="0.2">
      <c r="B186" s="475" t="s">
        <v>427</v>
      </c>
      <c r="C186" s="514" t="s">
        <v>428</v>
      </c>
      <c r="D186" s="515"/>
      <c r="E186" s="237" t="s">
        <v>442</v>
      </c>
      <c r="F186" s="283">
        <f>Y28</f>
        <v>0</v>
      </c>
      <c r="G186" s="283" t="str">
        <f>IF(F186&gt;=6,1,"")</f>
        <v/>
      </c>
      <c r="H186" s="480">
        <f>SUM(G186:G189)</f>
        <v>1</v>
      </c>
      <c r="M186" s="325" t="s">
        <v>514</v>
      </c>
      <c r="N186" s="325"/>
    </row>
    <row r="187" spans="2:15" x14ac:dyDescent="0.2">
      <c r="B187" s="476"/>
      <c r="C187" s="499" t="s">
        <v>234</v>
      </c>
      <c r="D187" s="500"/>
      <c r="E187" s="84" t="s">
        <v>376</v>
      </c>
      <c r="F187" s="216">
        <f>AB28</f>
        <v>2</v>
      </c>
      <c r="G187" s="216" t="str">
        <f>IF(F187&gt;=7,1,"")</f>
        <v/>
      </c>
      <c r="H187" s="481"/>
      <c r="M187" s="325" t="s">
        <v>515</v>
      </c>
      <c r="N187" s="325" t="str">
        <f>H190</f>
        <v>0</v>
      </c>
    </row>
    <row r="188" spans="2:15" x14ac:dyDescent="0.2">
      <c r="B188" s="476"/>
      <c r="C188" s="499" t="s">
        <v>277</v>
      </c>
      <c r="D188" s="500"/>
      <c r="E188" s="84" t="s">
        <v>331</v>
      </c>
      <c r="F188" s="216">
        <f>AF28</f>
        <v>0</v>
      </c>
      <c r="G188" s="216">
        <f>IF(F188=0,1,"")</f>
        <v>1</v>
      </c>
      <c r="H188" s="481"/>
      <c r="M188" s="325" t="s">
        <v>516</v>
      </c>
      <c r="N188" s="325"/>
    </row>
    <row r="189" spans="2:15" ht="15.75" thickBot="1" x14ac:dyDescent="0.25">
      <c r="B189" s="477"/>
      <c r="C189" s="510" t="s">
        <v>429</v>
      </c>
      <c r="D189" s="511"/>
      <c r="E189" s="235" t="s">
        <v>308</v>
      </c>
      <c r="F189" s="284">
        <f>AH28</f>
        <v>0</v>
      </c>
      <c r="G189" s="284" t="str">
        <f>IF(F189&gt;=6,1,"")</f>
        <v/>
      </c>
      <c r="H189" s="482"/>
      <c r="M189" s="325" t="s">
        <v>517</v>
      </c>
      <c r="N189" s="325">
        <f>H191</f>
        <v>2</v>
      </c>
    </row>
    <row r="190" spans="2:15" ht="15.75" thickBot="1" x14ac:dyDescent="0.25">
      <c r="B190" s="286" t="s">
        <v>363</v>
      </c>
      <c r="C190" s="512" t="s">
        <v>430</v>
      </c>
      <c r="D190" s="513"/>
      <c r="E190" s="236" t="s">
        <v>346</v>
      </c>
      <c r="F190" s="285">
        <f>Z28</f>
        <v>1</v>
      </c>
      <c r="G190" s="285" t="str">
        <f>IF(F190&gt;=12,1,"0")</f>
        <v>0</v>
      </c>
      <c r="H190" s="328" t="str">
        <f>G190</f>
        <v>0</v>
      </c>
      <c r="M190" s="325" t="s">
        <v>518</v>
      </c>
      <c r="N190" s="325">
        <f>H196</f>
        <v>2</v>
      </c>
    </row>
    <row r="191" spans="2:15" x14ac:dyDescent="0.2">
      <c r="B191" s="363" t="s">
        <v>367</v>
      </c>
      <c r="C191" s="365" t="s">
        <v>431</v>
      </c>
      <c r="D191" s="365"/>
      <c r="E191" s="237" t="s">
        <v>345</v>
      </c>
      <c r="F191" s="283">
        <f>V28</f>
        <v>0</v>
      </c>
      <c r="G191" s="283">
        <f>IF(F191&lt;=1,1,"")</f>
        <v>1</v>
      </c>
      <c r="H191" s="480">
        <f>SUM(G191:G195)</f>
        <v>2</v>
      </c>
      <c r="M191" s="325" t="s">
        <v>519</v>
      </c>
      <c r="N191" s="325">
        <f>H205</f>
        <v>2</v>
      </c>
    </row>
    <row r="192" spans="2:15" x14ac:dyDescent="0.2">
      <c r="B192" s="371"/>
      <c r="C192" s="373" t="s">
        <v>432</v>
      </c>
      <c r="D192" s="373"/>
      <c r="E192" s="84" t="s">
        <v>443</v>
      </c>
      <c r="F192" s="216">
        <f>X28</f>
        <v>0</v>
      </c>
      <c r="G192" s="216">
        <f>IF(F192&lt;=1,1,"")</f>
        <v>1</v>
      </c>
      <c r="H192" s="481"/>
      <c r="M192" s="325" t="s">
        <v>520</v>
      </c>
      <c r="N192" s="325"/>
    </row>
    <row r="193" spans="2:22" x14ac:dyDescent="0.2">
      <c r="B193" s="371"/>
      <c r="C193" s="373" t="s">
        <v>433</v>
      </c>
      <c r="D193" s="373"/>
      <c r="E193" s="84" t="s">
        <v>376</v>
      </c>
      <c r="F193" s="216">
        <f>AB28</f>
        <v>2</v>
      </c>
      <c r="G193" s="216" t="str">
        <f>IF(F193&gt;=13,1,"")</f>
        <v/>
      </c>
      <c r="H193" s="481"/>
      <c r="M193" s="325" t="s">
        <v>521</v>
      </c>
      <c r="N193" s="325">
        <f>H202</f>
        <v>0</v>
      </c>
    </row>
    <row r="194" spans="2:22" x14ac:dyDescent="0.2">
      <c r="B194" s="371"/>
      <c r="C194" s="373" t="s">
        <v>236</v>
      </c>
      <c r="D194" s="373"/>
      <c r="E194" s="84" t="s">
        <v>444</v>
      </c>
      <c r="F194" s="216">
        <f>AL28</f>
        <v>0</v>
      </c>
      <c r="G194" s="216" t="str">
        <f>IF(F194&gt;=4,1,"")</f>
        <v/>
      </c>
      <c r="H194" s="481"/>
    </row>
    <row r="195" spans="2:22" ht="15.75" thickBot="1" x14ac:dyDescent="0.25">
      <c r="B195" s="364"/>
      <c r="C195" s="516" t="s">
        <v>434</v>
      </c>
      <c r="D195" s="516"/>
      <c r="E195" s="235" t="s">
        <v>445</v>
      </c>
      <c r="F195" s="284">
        <f>C34</f>
        <v>0</v>
      </c>
      <c r="G195" s="284" t="str">
        <f>IF(F195&gt;=4,1,"")</f>
        <v/>
      </c>
      <c r="H195" s="482"/>
    </row>
    <row r="196" spans="2:22" x14ac:dyDescent="0.2">
      <c r="B196" s="363" t="s">
        <v>369</v>
      </c>
      <c r="C196" s="498" t="s">
        <v>435</v>
      </c>
      <c r="D196" s="498"/>
      <c r="E196" s="237" t="s">
        <v>345</v>
      </c>
      <c r="F196" s="283">
        <f>V28</f>
        <v>0</v>
      </c>
      <c r="G196" s="283">
        <f>IF(F196=0,1,"")</f>
        <v>1</v>
      </c>
      <c r="H196" s="480">
        <f>SUM(G196:G201)</f>
        <v>2</v>
      </c>
    </row>
    <row r="197" spans="2:22" x14ac:dyDescent="0.2">
      <c r="B197" s="371"/>
      <c r="C197" s="373" t="s">
        <v>436</v>
      </c>
      <c r="D197" s="373"/>
      <c r="E197" s="84" t="s">
        <v>377</v>
      </c>
      <c r="F197" s="216">
        <f>W28</f>
        <v>0</v>
      </c>
      <c r="G197" s="216" t="str">
        <f>IF(F197&gt;=8,1,"")</f>
        <v/>
      </c>
      <c r="H197" s="481"/>
    </row>
    <row r="198" spans="2:22" x14ac:dyDescent="0.2">
      <c r="B198" s="371"/>
      <c r="C198" s="373" t="s">
        <v>437</v>
      </c>
      <c r="D198" s="373"/>
      <c r="E198" s="84" t="s">
        <v>331</v>
      </c>
      <c r="F198" s="216">
        <f>AF28</f>
        <v>0</v>
      </c>
      <c r="G198" s="216">
        <f>IF(F198&lt;=1,1,"")</f>
        <v>1</v>
      </c>
      <c r="H198" s="481"/>
    </row>
    <row r="199" spans="2:22" x14ac:dyDescent="0.2">
      <c r="B199" s="371"/>
      <c r="C199" s="287" t="s">
        <v>246</v>
      </c>
      <c r="D199" s="240"/>
      <c r="E199" s="84" t="s">
        <v>444</v>
      </c>
      <c r="F199" s="216">
        <f>AL28</f>
        <v>0</v>
      </c>
      <c r="G199" s="216" t="str">
        <f>IF(F199&gt;=6,1,"")</f>
        <v/>
      </c>
      <c r="H199" s="481"/>
    </row>
    <row r="200" spans="2:22" x14ac:dyDescent="0.2">
      <c r="B200" s="371"/>
      <c r="C200" s="493" t="s">
        <v>439</v>
      </c>
      <c r="D200" s="517"/>
      <c r="E200" s="123"/>
      <c r="F200" s="216">
        <f>J32</f>
        <v>1</v>
      </c>
      <c r="G200" s="216" t="str">
        <f>IF(F200&gt;=2,1,"")</f>
        <v/>
      </c>
      <c r="H200" s="481"/>
    </row>
    <row r="201" spans="2:22" ht="15.75" thickBot="1" x14ac:dyDescent="0.25">
      <c r="B201" s="364"/>
      <c r="C201" s="366" t="s">
        <v>438</v>
      </c>
      <c r="D201" s="366"/>
      <c r="E201" s="235" t="s">
        <v>353</v>
      </c>
      <c r="F201" s="284">
        <f>AC28</f>
        <v>1</v>
      </c>
      <c r="G201" s="284" t="str">
        <f>IF(F201&gt;=10,1,"")</f>
        <v/>
      </c>
      <c r="H201" s="482"/>
    </row>
    <row r="202" spans="2:22" x14ac:dyDescent="0.2">
      <c r="B202" s="363" t="s">
        <v>370</v>
      </c>
      <c r="C202" s="365" t="s">
        <v>243</v>
      </c>
      <c r="D202" s="365"/>
      <c r="E202" s="237" t="s">
        <v>442</v>
      </c>
      <c r="F202" s="283">
        <f>Y28</f>
        <v>0</v>
      </c>
      <c r="G202" s="283" t="str">
        <f>IF(F202&gt;=5,1,"")</f>
        <v/>
      </c>
      <c r="H202" s="480">
        <f>SUM(G202:G204)</f>
        <v>0</v>
      </c>
    </row>
    <row r="203" spans="2:22" x14ac:dyDescent="0.2">
      <c r="B203" s="371"/>
      <c r="C203" s="518" t="s">
        <v>440</v>
      </c>
      <c r="D203" s="518"/>
      <c r="E203" s="84" t="s">
        <v>446</v>
      </c>
      <c r="F203" s="216">
        <f>AG28</f>
        <v>0</v>
      </c>
      <c r="G203" s="216" t="str">
        <f>IF(F203&gt;=6,1,"")</f>
        <v/>
      </c>
      <c r="H203" s="481"/>
    </row>
    <row r="204" spans="2:22" ht="15.75" thickBot="1" x14ac:dyDescent="0.25">
      <c r="B204" s="364"/>
      <c r="C204" s="366" t="s">
        <v>426</v>
      </c>
      <c r="D204" s="366"/>
      <c r="E204" s="235" t="s">
        <v>310</v>
      </c>
      <c r="F204" s="284">
        <f>AK28</f>
        <v>0</v>
      </c>
      <c r="G204" s="284" t="str">
        <f>IF(F204&gt;=6,1,"")</f>
        <v/>
      </c>
      <c r="H204" s="482"/>
    </row>
    <row r="205" spans="2:22" x14ac:dyDescent="0.2">
      <c r="B205" s="363" t="s">
        <v>371</v>
      </c>
      <c r="C205" s="365" t="s">
        <v>441</v>
      </c>
      <c r="D205" s="365"/>
      <c r="E205" s="237" t="s">
        <v>347</v>
      </c>
      <c r="F205" s="283">
        <f>AE28</f>
        <v>1</v>
      </c>
      <c r="G205" s="283" t="str">
        <f>IF(F205&gt;=12,1,"")</f>
        <v/>
      </c>
      <c r="H205" s="480">
        <f>SUM(G205:G208)</f>
        <v>2</v>
      </c>
    </row>
    <row r="206" spans="2:22" x14ac:dyDescent="0.2">
      <c r="B206" s="371"/>
      <c r="C206" s="373" t="s">
        <v>437</v>
      </c>
      <c r="D206" s="373"/>
      <c r="E206" s="84" t="s">
        <v>331</v>
      </c>
      <c r="F206" s="216">
        <f>AF28</f>
        <v>0</v>
      </c>
      <c r="G206" s="216">
        <f>IF(F206&lt;=1,1,"")</f>
        <v>1</v>
      </c>
      <c r="H206" s="481"/>
    </row>
    <row r="207" spans="2:22" x14ac:dyDescent="0.2">
      <c r="B207" s="371"/>
      <c r="C207" s="373" t="s">
        <v>249</v>
      </c>
      <c r="D207" s="373"/>
      <c r="E207" s="84" t="s">
        <v>447</v>
      </c>
      <c r="F207" s="216">
        <f>AJ28</f>
        <v>0</v>
      </c>
      <c r="G207" s="216" t="str">
        <f>IF(F207&gt;=5,1,"")</f>
        <v/>
      </c>
      <c r="H207" s="481"/>
    </row>
    <row r="208" spans="2:22" ht="15.75" thickBot="1" x14ac:dyDescent="0.25">
      <c r="B208" s="497"/>
      <c r="C208" s="519" t="s">
        <v>293</v>
      </c>
      <c r="D208" s="519"/>
      <c r="E208" s="280" t="s">
        <v>445</v>
      </c>
      <c r="F208" s="247">
        <f>C34</f>
        <v>0</v>
      </c>
      <c r="G208" s="247">
        <f>IF(F202&lt;=6,1,"")</f>
        <v>1</v>
      </c>
      <c r="H208" s="481"/>
      <c r="I208" s="8"/>
      <c r="J208" s="8"/>
      <c r="K208" s="8"/>
      <c r="L208" s="8"/>
      <c r="M208" s="8"/>
      <c r="N208" s="8"/>
      <c r="O208" s="8"/>
      <c r="P208" s="8"/>
      <c r="Q208" s="8"/>
      <c r="R208" s="8"/>
      <c r="S208" s="8"/>
      <c r="T208" s="8"/>
      <c r="U208" s="8"/>
      <c r="V208" s="288"/>
    </row>
    <row r="209" spans="2:22" ht="12.75" x14ac:dyDescent="0.2">
      <c r="B209" s="348" t="s">
        <v>487</v>
      </c>
      <c r="C209" s="349"/>
      <c r="D209" s="349"/>
      <c r="E209" s="349"/>
      <c r="F209" s="349"/>
      <c r="G209" s="349"/>
      <c r="H209" s="349"/>
      <c r="I209" s="349"/>
      <c r="J209" s="349"/>
      <c r="K209" s="349"/>
      <c r="L209" s="349"/>
      <c r="M209" s="349"/>
      <c r="N209" s="349"/>
      <c r="O209" s="349"/>
      <c r="P209" s="349"/>
      <c r="Q209" s="349"/>
      <c r="R209" s="349"/>
      <c r="S209" s="349"/>
      <c r="T209" s="349"/>
      <c r="U209" s="349"/>
      <c r="V209" s="350"/>
    </row>
    <row r="210" spans="2:22" ht="15" customHeight="1" x14ac:dyDescent="0.2">
      <c r="B210" s="351"/>
      <c r="C210" s="352"/>
      <c r="D210" s="352"/>
      <c r="E210" s="352"/>
      <c r="F210" s="352"/>
      <c r="G210" s="352"/>
      <c r="H210" s="352"/>
      <c r="I210" s="352"/>
      <c r="J210" s="352"/>
      <c r="K210" s="352"/>
      <c r="L210" s="352"/>
      <c r="M210" s="352"/>
      <c r="N210" s="352"/>
      <c r="O210" s="352"/>
      <c r="P210" s="352"/>
      <c r="Q210" s="352"/>
      <c r="R210" s="352"/>
      <c r="S210" s="352"/>
      <c r="T210" s="352"/>
      <c r="U210" s="352"/>
      <c r="V210" s="353"/>
    </row>
    <row r="211" spans="2:22" ht="15" customHeight="1" x14ac:dyDescent="0.2">
      <c r="B211" s="351"/>
      <c r="C211" s="352"/>
      <c r="D211" s="352"/>
      <c r="E211" s="352"/>
      <c r="F211" s="352"/>
      <c r="G211" s="352"/>
      <c r="H211" s="352"/>
      <c r="I211" s="352"/>
      <c r="J211" s="352"/>
      <c r="K211" s="352"/>
      <c r="L211" s="352"/>
      <c r="M211" s="352"/>
      <c r="N211" s="352"/>
      <c r="O211" s="352"/>
      <c r="P211" s="352"/>
      <c r="Q211" s="352"/>
      <c r="R211" s="352"/>
      <c r="S211" s="352"/>
      <c r="T211" s="352"/>
      <c r="U211" s="352"/>
      <c r="V211" s="353"/>
    </row>
    <row r="212" spans="2:22" ht="63" customHeight="1" x14ac:dyDescent="0.2">
      <c r="B212" s="354"/>
      <c r="C212" s="355"/>
      <c r="D212" s="355"/>
      <c r="E212" s="355"/>
      <c r="F212" s="355"/>
      <c r="G212" s="355"/>
      <c r="H212" s="355"/>
      <c r="I212" s="355"/>
      <c r="J212" s="355"/>
      <c r="K212" s="355"/>
      <c r="L212" s="355"/>
      <c r="M212" s="355"/>
      <c r="N212" s="355"/>
      <c r="O212" s="355"/>
      <c r="P212" s="355"/>
      <c r="Q212" s="355"/>
      <c r="R212" s="355"/>
      <c r="S212" s="355"/>
      <c r="T212" s="355"/>
      <c r="U212" s="355"/>
      <c r="V212" s="356"/>
    </row>
  </sheetData>
  <sheetProtection algorithmName="SHA-512" hashValue="AbuTXElsP0reG3q8yecgBN01hIOT91WoT6knlASfDZ+IOUBWxWWB8WVioWIgAFIKY3enb6NIigbQS2xrCQMASA==" saltValue="tFxd4j9Ya8m4XGSWiX+Ghg==" spinCount="100000" sheet="1" objects="1" scenarios="1"/>
  <mergeCells count="180">
    <mergeCell ref="H186:H189"/>
    <mergeCell ref="H191:H195"/>
    <mergeCell ref="H196:H201"/>
    <mergeCell ref="H202:H204"/>
    <mergeCell ref="H205:H208"/>
    <mergeCell ref="C191:D191"/>
    <mergeCell ref="C192:D192"/>
    <mergeCell ref="C193:D193"/>
    <mergeCell ref="C194:D194"/>
    <mergeCell ref="C195:D195"/>
    <mergeCell ref="C200:D200"/>
    <mergeCell ref="C201:D201"/>
    <mergeCell ref="C202:D202"/>
    <mergeCell ref="C203:D203"/>
    <mergeCell ref="C204:D204"/>
    <mergeCell ref="C205:D205"/>
    <mergeCell ref="C206:D206"/>
    <mergeCell ref="C207:D207"/>
    <mergeCell ref="C208:D208"/>
    <mergeCell ref="B202:B204"/>
    <mergeCell ref="B205:B208"/>
    <mergeCell ref="C196:D196"/>
    <mergeCell ref="C197:D197"/>
    <mergeCell ref="C198:D198"/>
    <mergeCell ref="C184:D184"/>
    <mergeCell ref="C183:D183"/>
    <mergeCell ref="B163:F163"/>
    <mergeCell ref="B149:F149"/>
    <mergeCell ref="B186:B189"/>
    <mergeCell ref="C188:D188"/>
    <mergeCell ref="C189:D189"/>
    <mergeCell ref="C190:D190"/>
    <mergeCell ref="C187:D187"/>
    <mergeCell ref="C186:D186"/>
    <mergeCell ref="C185:D185"/>
    <mergeCell ref="B191:B195"/>
    <mergeCell ref="B196:B201"/>
    <mergeCell ref="G148:I148"/>
    <mergeCell ref="C72:D72"/>
    <mergeCell ref="C73:D73"/>
    <mergeCell ref="C74:D74"/>
    <mergeCell ref="C75:D75"/>
    <mergeCell ref="B181:D181"/>
    <mergeCell ref="B183:B185"/>
    <mergeCell ref="F178:G178"/>
    <mergeCell ref="B115:R115"/>
    <mergeCell ref="H183:H185"/>
    <mergeCell ref="J73:J75"/>
    <mergeCell ref="J76:J80"/>
    <mergeCell ref="J81:J84"/>
    <mergeCell ref="J85:J89"/>
    <mergeCell ref="J90:J94"/>
    <mergeCell ref="J95:J98"/>
    <mergeCell ref="H117:J117"/>
    <mergeCell ref="C134:E134"/>
    <mergeCell ref="B146:U146"/>
    <mergeCell ref="G134:J134"/>
    <mergeCell ref="J67:J72"/>
    <mergeCell ref="B101:C101"/>
    <mergeCell ref="C100:D100"/>
    <mergeCell ref="C2:H2"/>
    <mergeCell ref="F3:H4"/>
    <mergeCell ref="A36:D36"/>
    <mergeCell ref="E36:I36"/>
    <mergeCell ref="C71:D71"/>
    <mergeCell ref="C86:D86"/>
    <mergeCell ref="B76:B80"/>
    <mergeCell ref="C81:D81"/>
    <mergeCell ref="C82:D82"/>
    <mergeCell ref="C83:D83"/>
    <mergeCell ref="C84:D84"/>
    <mergeCell ref="B81:B84"/>
    <mergeCell ref="C76:D76"/>
    <mergeCell ref="C68:D68"/>
    <mergeCell ref="C69:D69"/>
    <mergeCell ref="C70:D70"/>
    <mergeCell ref="A38:B38"/>
    <mergeCell ref="D38:G38"/>
    <mergeCell ref="B73:B75"/>
    <mergeCell ref="C77:D77"/>
    <mergeCell ref="C78:D78"/>
    <mergeCell ref="C79:D79"/>
    <mergeCell ref="C80:D80"/>
    <mergeCell ref="B67:B72"/>
    <mergeCell ref="BV13:CQ13"/>
    <mergeCell ref="H118:H120"/>
    <mergeCell ref="H122:H123"/>
    <mergeCell ref="H125:H126"/>
    <mergeCell ref="H130:H131"/>
    <mergeCell ref="C139:D139"/>
    <mergeCell ref="C87:D87"/>
    <mergeCell ref="C88:D88"/>
    <mergeCell ref="C89:D89"/>
    <mergeCell ref="AO31:AQ31"/>
    <mergeCell ref="Y34:AA34"/>
    <mergeCell ref="Y35:AA35"/>
    <mergeCell ref="Y36:AA36"/>
    <mergeCell ref="Y37:AA37"/>
    <mergeCell ref="Y38:AA38"/>
    <mergeCell ref="Y39:AA39"/>
    <mergeCell ref="Y40:AA40"/>
    <mergeCell ref="Y41:AA41"/>
    <mergeCell ref="Y42:AA42"/>
    <mergeCell ref="Y43:AA43"/>
    <mergeCell ref="Y44:AA44"/>
    <mergeCell ref="AO32:AQ32"/>
    <mergeCell ref="AO33:AQ33"/>
    <mergeCell ref="F100:H100"/>
    <mergeCell ref="M4:O4"/>
    <mergeCell ref="P4:R4"/>
    <mergeCell ref="M3:R3"/>
    <mergeCell ref="A3:A4"/>
    <mergeCell ref="B3:B4"/>
    <mergeCell ref="C3:E4"/>
    <mergeCell ref="DH13:DP13"/>
    <mergeCell ref="DM18:DP18"/>
    <mergeCell ref="C67:D67"/>
    <mergeCell ref="B64:I64"/>
    <mergeCell ref="D34:F34"/>
    <mergeCell ref="D31:F31"/>
    <mergeCell ref="A34:B34"/>
    <mergeCell ref="A33:B33"/>
    <mergeCell ref="D33:F33"/>
    <mergeCell ref="A35:B35"/>
    <mergeCell ref="D35:F35"/>
    <mergeCell ref="CX14:CZ14"/>
    <mergeCell ref="U25:AN25"/>
    <mergeCell ref="A31:B31"/>
    <mergeCell ref="A32:I32"/>
    <mergeCell ref="CM14:CR14"/>
    <mergeCell ref="CO19:CP19"/>
    <mergeCell ref="CD14:CF14"/>
    <mergeCell ref="J66:K66"/>
    <mergeCell ref="CB14:CC14"/>
    <mergeCell ref="CB15:CC15"/>
    <mergeCell ref="CB16:CC16"/>
    <mergeCell ref="CB17:CC17"/>
    <mergeCell ref="CB18:CC18"/>
    <mergeCell ref="B1:H1"/>
    <mergeCell ref="A37:B37"/>
    <mergeCell ref="C98:D98"/>
    <mergeCell ref="B95:B98"/>
    <mergeCell ref="B65:B66"/>
    <mergeCell ref="C66:D66"/>
    <mergeCell ref="C65:I65"/>
    <mergeCell ref="C94:D94"/>
    <mergeCell ref="B90:B94"/>
    <mergeCell ref="C95:D95"/>
    <mergeCell ref="C96:D96"/>
    <mergeCell ref="C97:D97"/>
    <mergeCell ref="B85:B89"/>
    <mergeCell ref="C90:D90"/>
    <mergeCell ref="C91:D91"/>
    <mergeCell ref="C92:D92"/>
    <mergeCell ref="C93:D93"/>
    <mergeCell ref="C85:D85"/>
    <mergeCell ref="B209:V212"/>
    <mergeCell ref="B133:I133"/>
    <mergeCell ref="F117:G117"/>
    <mergeCell ref="B116:G116"/>
    <mergeCell ref="B125:B126"/>
    <mergeCell ref="C125:D125"/>
    <mergeCell ref="C126:D126"/>
    <mergeCell ref="C127:D127"/>
    <mergeCell ref="B130:B131"/>
    <mergeCell ref="C128:D128"/>
    <mergeCell ref="C129:D129"/>
    <mergeCell ref="C130:D130"/>
    <mergeCell ref="C131:D131"/>
    <mergeCell ref="C121:D121"/>
    <mergeCell ref="C122:D122"/>
    <mergeCell ref="C123:D123"/>
    <mergeCell ref="B122:B123"/>
    <mergeCell ref="C124:D124"/>
    <mergeCell ref="B118:B120"/>
    <mergeCell ref="C117:E117"/>
    <mergeCell ref="C118:D118"/>
    <mergeCell ref="C119:D119"/>
    <mergeCell ref="C120:D120"/>
    <mergeCell ref="B179:M179"/>
  </mergeCells>
  <conditionalFormatting sqref="I67:I98">
    <cfRule type="containsText" dxfId="24" priority="194" operator="containsText" text="!">
      <formula>NOT(ISERROR(SEARCH("!",I67)))</formula>
    </cfRule>
  </conditionalFormatting>
  <conditionalFormatting sqref="C5:H5">
    <cfRule type="duplicateValues" dxfId="23" priority="24"/>
  </conditionalFormatting>
  <conditionalFormatting sqref="C6:H6">
    <cfRule type="duplicateValues" dxfId="22" priority="23"/>
  </conditionalFormatting>
  <conditionalFormatting sqref="C7:H7">
    <cfRule type="duplicateValues" dxfId="21" priority="22"/>
  </conditionalFormatting>
  <conditionalFormatting sqref="C9:H9">
    <cfRule type="duplicateValues" dxfId="20" priority="21"/>
  </conditionalFormatting>
  <conditionalFormatting sqref="C10:H10">
    <cfRule type="duplicateValues" dxfId="19" priority="20"/>
  </conditionalFormatting>
  <conditionalFormatting sqref="C11:H11">
    <cfRule type="duplicateValues" dxfId="18" priority="19"/>
  </conditionalFormatting>
  <conditionalFormatting sqref="C12:H12">
    <cfRule type="duplicateValues" dxfId="17" priority="18"/>
  </conditionalFormatting>
  <conditionalFormatting sqref="C13:H13">
    <cfRule type="duplicateValues" dxfId="16" priority="17"/>
  </conditionalFormatting>
  <conditionalFormatting sqref="C14:H14">
    <cfRule type="duplicateValues" dxfId="15" priority="16"/>
  </conditionalFormatting>
  <conditionalFormatting sqref="C15:H15">
    <cfRule type="duplicateValues" dxfId="14" priority="15"/>
  </conditionalFormatting>
  <conditionalFormatting sqref="C16:H16">
    <cfRule type="duplicateValues" dxfId="13" priority="14"/>
  </conditionalFormatting>
  <conditionalFormatting sqref="C17:H17">
    <cfRule type="duplicateValues" dxfId="12" priority="13"/>
  </conditionalFormatting>
  <conditionalFormatting sqref="C18:H18">
    <cfRule type="duplicateValues" dxfId="11" priority="12"/>
  </conditionalFormatting>
  <conditionalFormatting sqref="C19:H19">
    <cfRule type="duplicateValues" dxfId="10" priority="11"/>
  </conditionalFormatting>
  <conditionalFormatting sqref="C20:H20">
    <cfRule type="duplicateValues" dxfId="9" priority="10"/>
  </conditionalFormatting>
  <conditionalFormatting sqref="C21:H21">
    <cfRule type="duplicateValues" dxfId="8" priority="9"/>
  </conditionalFormatting>
  <conditionalFormatting sqref="C22:H22">
    <cfRule type="duplicateValues" dxfId="7" priority="8"/>
  </conditionalFormatting>
  <conditionalFormatting sqref="C23:H23">
    <cfRule type="duplicateValues" dxfId="6" priority="7"/>
  </conditionalFormatting>
  <conditionalFormatting sqref="C24:H24">
    <cfRule type="duplicateValues" dxfId="5" priority="6"/>
  </conditionalFormatting>
  <conditionalFormatting sqref="C25:H25">
    <cfRule type="duplicateValues" dxfId="4" priority="5"/>
  </conditionalFormatting>
  <conditionalFormatting sqref="C26:H26">
    <cfRule type="duplicateValues" dxfId="3" priority="4"/>
  </conditionalFormatting>
  <conditionalFormatting sqref="C27:H27">
    <cfRule type="duplicateValues" dxfId="2" priority="3"/>
  </conditionalFormatting>
  <conditionalFormatting sqref="C28:H28">
    <cfRule type="duplicateValues" dxfId="1" priority="2"/>
  </conditionalFormatting>
  <conditionalFormatting sqref="C29:H29">
    <cfRule type="duplicateValues" dxfId="0" priority="1"/>
  </conditionalFormatting>
  <pageMargins left="0.7" right="0.7" top="0.75" bottom="0.75" header="0.3" footer="0.3"/>
  <pageSetup paperSize="9" orientation="portrait" horizontalDpi="0" verticalDpi="0" r:id="rId1"/>
  <ignoredErrors>
    <ignoredError sqref="AD11 CW8 DC7 DD8 E137 E142 I75 E10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00616-512B-4E37-88FF-2B079822E513}">
  <dimension ref="A1:AE195"/>
  <sheetViews>
    <sheetView topLeftCell="A100" workbookViewId="0">
      <selection activeCell="D107" sqref="D107"/>
    </sheetView>
  </sheetViews>
  <sheetFormatPr defaultRowHeight="12.75" x14ac:dyDescent="0.2"/>
  <cols>
    <col min="1" max="1" width="23.5703125" customWidth="1"/>
    <col min="2" max="2" width="14.140625" customWidth="1"/>
  </cols>
  <sheetData>
    <row r="1" spans="1:25" ht="13.5" thickBot="1" x14ac:dyDescent="0.25"/>
    <row r="2" spans="1:25" x14ac:dyDescent="0.2">
      <c r="B2" s="137"/>
      <c r="C2" s="138" t="s">
        <v>96</v>
      </c>
      <c r="D2" s="138" t="s">
        <v>12</v>
      </c>
      <c r="E2" s="138" t="s">
        <v>3</v>
      </c>
      <c r="F2" s="138" t="s">
        <v>15</v>
      </c>
      <c r="G2" s="138" t="s">
        <v>0</v>
      </c>
      <c r="H2" s="138" t="s">
        <v>19</v>
      </c>
      <c r="I2" s="138" t="s">
        <v>4</v>
      </c>
      <c r="J2" s="138" t="s">
        <v>17</v>
      </c>
      <c r="K2" s="138" t="s">
        <v>18</v>
      </c>
      <c r="L2" s="138" t="s">
        <v>20</v>
      </c>
      <c r="M2" s="138" t="s">
        <v>16</v>
      </c>
      <c r="N2" s="138" t="s">
        <v>29</v>
      </c>
      <c r="O2" s="138" t="s">
        <v>14</v>
      </c>
      <c r="P2" s="138" t="s">
        <v>30</v>
      </c>
      <c r="Q2" s="138" t="s">
        <v>31</v>
      </c>
      <c r="R2" s="138" t="s">
        <v>32</v>
      </c>
      <c r="S2" s="138" t="s">
        <v>33</v>
      </c>
      <c r="T2" s="138" t="s">
        <v>2</v>
      </c>
      <c r="U2" s="138" t="s">
        <v>34</v>
      </c>
      <c r="V2" s="139" t="s">
        <v>35</v>
      </c>
    </row>
    <row r="3" spans="1:25" ht="12.75" customHeight="1" x14ac:dyDescent="0.2">
      <c r="A3" s="136"/>
      <c r="B3" s="140" t="s">
        <v>306</v>
      </c>
      <c r="C3" s="175">
        <f>ответы!U23</f>
        <v>0</v>
      </c>
      <c r="D3" s="175">
        <f>ответы!V23</f>
        <v>0</v>
      </c>
      <c r="E3" s="175">
        <f>ответы!W23</f>
        <v>0</v>
      </c>
      <c r="F3" s="175">
        <f>ответы!X23</f>
        <v>0</v>
      </c>
      <c r="G3" s="175">
        <f>ответы!Y23</f>
        <v>0</v>
      </c>
      <c r="H3" s="175">
        <f>ответы!Z23</f>
        <v>0</v>
      </c>
      <c r="I3" s="175">
        <f>ответы!AA23</f>
        <v>0</v>
      </c>
      <c r="J3" s="175">
        <f>ответы!AB23</f>
        <v>0</v>
      </c>
      <c r="K3" s="175">
        <f>ответы!AC23</f>
        <v>0</v>
      </c>
      <c r="L3" s="175">
        <f>ответы!AD23</f>
        <v>0</v>
      </c>
      <c r="M3" s="175">
        <f>ответы!AE23</f>
        <v>0</v>
      </c>
      <c r="N3" s="175">
        <f>ответы!AF23</f>
        <v>0</v>
      </c>
      <c r="O3" s="175">
        <f>ответы!AG23</f>
        <v>0</v>
      </c>
      <c r="P3" s="175">
        <f>ответы!AH23</f>
        <v>0</v>
      </c>
      <c r="Q3" s="175">
        <f>ответы!AI23</f>
        <v>0</v>
      </c>
      <c r="R3" s="175">
        <f>ответы!AJ23</f>
        <v>0</v>
      </c>
      <c r="S3" s="175">
        <f>ответы!AK23</f>
        <v>0</v>
      </c>
      <c r="T3" s="175">
        <f>ответы!AL23</f>
        <v>0</v>
      </c>
      <c r="U3" s="175">
        <f>ответы!AM23</f>
        <v>0</v>
      </c>
      <c r="V3" s="176">
        <f>ответы!AN23</f>
        <v>0</v>
      </c>
    </row>
    <row r="4" spans="1:25" ht="14.25" customHeight="1" x14ac:dyDescent="0.2">
      <c r="A4" s="136"/>
      <c r="B4" s="140" t="s">
        <v>305</v>
      </c>
      <c r="C4" s="134">
        <f>ответы!U26</f>
        <v>0</v>
      </c>
      <c r="D4" s="134">
        <f>ответы!V26</f>
        <v>0</v>
      </c>
      <c r="E4" s="134" t="str">
        <f>ответы!W26</f>
        <v>0</v>
      </c>
      <c r="F4" s="134">
        <f>ответы!X26</f>
        <v>0</v>
      </c>
      <c r="G4" s="134">
        <f>ответы!Y26</f>
        <v>0</v>
      </c>
      <c r="H4" s="134">
        <f>ответы!Z26</f>
        <v>1</v>
      </c>
      <c r="I4" s="134">
        <f>ответы!AA26</f>
        <v>2</v>
      </c>
      <c r="J4" s="134">
        <f>ответы!AB26</f>
        <v>2</v>
      </c>
      <c r="K4" s="134">
        <f>ответы!AC26</f>
        <v>1</v>
      </c>
      <c r="L4" s="134">
        <f>ответы!AD26</f>
        <v>1</v>
      </c>
      <c r="M4" s="134">
        <f>ответы!AE26</f>
        <v>1</v>
      </c>
      <c r="N4" s="134">
        <f>ответы!AF26</f>
        <v>0</v>
      </c>
      <c r="O4" s="134">
        <f>ответы!AG26</f>
        <v>0</v>
      </c>
      <c r="P4" s="134">
        <f>ответы!AH26</f>
        <v>0</v>
      </c>
      <c r="Q4" s="134">
        <f>ответы!AI26</f>
        <v>0</v>
      </c>
      <c r="R4" s="134">
        <f>ответы!AJ26</f>
        <v>0</v>
      </c>
      <c r="S4" s="134">
        <f>ответы!AK26</f>
        <v>0</v>
      </c>
      <c r="T4" s="134">
        <f>ответы!AL26</f>
        <v>0</v>
      </c>
      <c r="U4" s="134">
        <f>ответы!AM26</f>
        <v>0</v>
      </c>
      <c r="V4" s="141">
        <f>ответы!AN26</f>
        <v>0</v>
      </c>
    </row>
    <row r="5" spans="1:25" ht="13.5" thickBot="1" x14ac:dyDescent="0.25">
      <c r="A5" s="136"/>
      <c r="B5" s="142" t="s">
        <v>116</v>
      </c>
      <c r="C5" s="143"/>
      <c r="D5" s="144">
        <v>7</v>
      </c>
      <c r="E5" s="144">
        <v>6</v>
      </c>
      <c r="F5" s="144">
        <v>6</v>
      </c>
      <c r="G5" s="144">
        <v>5</v>
      </c>
      <c r="H5" s="144">
        <v>6</v>
      </c>
      <c r="I5" s="144">
        <v>6</v>
      </c>
      <c r="J5" s="144">
        <v>6</v>
      </c>
      <c r="K5" s="144">
        <v>6</v>
      </c>
      <c r="L5" s="144">
        <v>6</v>
      </c>
      <c r="M5" s="144">
        <v>6</v>
      </c>
      <c r="N5" s="144">
        <v>6</v>
      </c>
      <c r="O5" s="145"/>
      <c r="P5" s="145"/>
      <c r="Q5" s="145"/>
      <c r="R5" s="145"/>
      <c r="S5" s="145"/>
      <c r="T5" s="145"/>
      <c r="U5" s="145"/>
      <c r="V5" s="146"/>
    </row>
    <row r="6" spans="1:25" x14ac:dyDescent="0.2">
      <c r="A6" s="136"/>
      <c r="B6" s="135"/>
      <c r="C6" s="8"/>
    </row>
    <row r="7" spans="1:25" x14ac:dyDescent="0.2">
      <c r="A7" s="136"/>
      <c r="B7" s="172" t="s">
        <v>332</v>
      </c>
      <c r="C7" s="174"/>
      <c r="D7" s="177">
        <f>SUM(D3:D4)</f>
        <v>0</v>
      </c>
      <c r="E7" s="177">
        <f t="shared" ref="E7:V7" si="0">SUM(E3:E4)</f>
        <v>0</v>
      </c>
      <c r="F7" s="177">
        <f t="shared" si="0"/>
        <v>0</v>
      </c>
      <c r="G7" s="177">
        <f t="shared" si="0"/>
        <v>0</v>
      </c>
      <c r="H7" s="177">
        <f t="shared" si="0"/>
        <v>1</v>
      </c>
      <c r="I7" s="177">
        <f t="shared" si="0"/>
        <v>2</v>
      </c>
      <c r="J7" s="177">
        <f t="shared" si="0"/>
        <v>2</v>
      </c>
      <c r="K7" s="177">
        <f t="shared" si="0"/>
        <v>1</v>
      </c>
      <c r="L7" s="177">
        <f t="shared" si="0"/>
        <v>1</v>
      </c>
      <c r="M7" s="177">
        <f t="shared" si="0"/>
        <v>1</v>
      </c>
      <c r="N7" s="177">
        <f t="shared" si="0"/>
        <v>0</v>
      </c>
      <c r="O7" s="177">
        <f t="shared" si="0"/>
        <v>0</v>
      </c>
      <c r="P7" s="177">
        <f t="shared" si="0"/>
        <v>0</v>
      </c>
      <c r="Q7" s="177">
        <f t="shared" si="0"/>
        <v>0</v>
      </c>
      <c r="R7" s="177">
        <f t="shared" si="0"/>
        <v>0</v>
      </c>
      <c r="S7" s="177">
        <f t="shared" si="0"/>
        <v>0</v>
      </c>
      <c r="T7" s="177">
        <f t="shared" si="0"/>
        <v>0</v>
      </c>
      <c r="U7" s="177">
        <f t="shared" si="0"/>
        <v>0</v>
      </c>
      <c r="V7" s="177">
        <f t="shared" si="0"/>
        <v>0</v>
      </c>
    </row>
    <row r="8" spans="1:25" x14ac:dyDescent="0.2">
      <c r="A8" s="148"/>
      <c r="B8" s="135"/>
      <c r="C8" s="8"/>
    </row>
    <row r="9" spans="1:25" ht="13.5" thickBot="1" x14ac:dyDescent="0.25">
      <c r="A9" s="148"/>
      <c r="B9" s="171"/>
      <c r="C9" s="8"/>
    </row>
    <row r="10" spans="1:25" ht="12.75" customHeight="1" x14ac:dyDescent="0.2">
      <c r="A10" s="551" t="s">
        <v>307</v>
      </c>
      <c r="B10" s="135"/>
      <c r="C10" s="8"/>
      <c r="M10" s="151"/>
      <c r="N10" s="151"/>
      <c r="O10" s="151"/>
    </row>
    <row r="11" spans="1:25" x14ac:dyDescent="0.2">
      <c r="A11" s="554"/>
      <c r="B11" s="135"/>
      <c r="C11" s="8"/>
      <c r="M11" s="151"/>
      <c r="N11" s="151"/>
      <c r="O11" s="151"/>
    </row>
    <row r="12" spans="1:25" x14ac:dyDescent="0.2">
      <c r="A12" s="554"/>
      <c r="B12" s="135"/>
      <c r="C12" s="8"/>
      <c r="M12" s="151"/>
      <c r="N12" s="151"/>
      <c r="O12" s="151"/>
    </row>
    <row r="13" spans="1:25" x14ac:dyDescent="0.2">
      <c r="A13" s="554"/>
      <c r="B13" s="135"/>
      <c r="C13" s="8"/>
      <c r="M13" s="151"/>
      <c r="N13" s="151"/>
      <c r="O13" s="151"/>
    </row>
    <row r="14" spans="1:25" x14ac:dyDescent="0.2">
      <c r="A14" s="554"/>
      <c r="C14" s="8"/>
      <c r="D14" s="8"/>
      <c r="E14" s="8"/>
      <c r="F14" s="8"/>
      <c r="G14" s="8"/>
      <c r="H14" s="8"/>
      <c r="I14" s="8"/>
      <c r="J14" s="8"/>
      <c r="K14" s="8"/>
      <c r="L14" s="8"/>
      <c r="M14" s="151"/>
      <c r="N14" s="151"/>
      <c r="O14" s="151"/>
      <c r="W14" s="136"/>
      <c r="X14" s="136"/>
      <c r="Y14" s="136"/>
    </row>
    <row r="15" spans="1:25" x14ac:dyDescent="0.2">
      <c r="A15" s="554"/>
      <c r="M15" s="151"/>
      <c r="N15" s="151"/>
      <c r="O15" s="151"/>
      <c r="W15" s="136"/>
      <c r="X15" s="136"/>
      <c r="Y15" s="136"/>
    </row>
    <row r="16" spans="1:25" x14ac:dyDescent="0.2">
      <c r="A16" s="554"/>
      <c r="M16" s="151"/>
      <c r="N16" s="151"/>
      <c r="O16" s="151"/>
      <c r="W16" s="136"/>
      <c r="X16" s="136"/>
      <c r="Y16" s="136"/>
    </row>
    <row r="17" spans="1:25" x14ac:dyDescent="0.2">
      <c r="A17" s="554"/>
      <c r="M17" s="151"/>
      <c r="N17" s="151"/>
      <c r="O17" s="151"/>
      <c r="W17" s="136"/>
      <c r="X17" s="136"/>
      <c r="Y17" s="136"/>
    </row>
    <row r="18" spans="1:25" x14ac:dyDescent="0.2">
      <c r="A18" s="554"/>
      <c r="M18" s="151"/>
      <c r="N18" s="151"/>
      <c r="O18" s="151"/>
      <c r="W18" s="136"/>
      <c r="X18" s="136"/>
      <c r="Y18" s="136"/>
    </row>
    <row r="19" spans="1:25" x14ac:dyDescent="0.2">
      <c r="A19" s="554"/>
      <c r="M19" s="151"/>
      <c r="N19" s="151"/>
      <c r="O19" s="151"/>
      <c r="W19" s="136"/>
      <c r="X19" s="136"/>
      <c r="Y19" s="136"/>
    </row>
    <row r="20" spans="1:25" ht="12.75" customHeight="1" x14ac:dyDescent="0.2">
      <c r="A20" s="554"/>
      <c r="M20" s="151"/>
      <c r="N20" s="151"/>
      <c r="O20" s="151"/>
      <c r="W20" s="136"/>
      <c r="X20" s="136"/>
      <c r="Y20" s="136"/>
    </row>
    <row r="21" spans="1:25" ht="12.75" customHeight="1" thickBot="1" x14ac:dyDescent="0.25">
      <c r="A21" s="555"/>
      <c r="W21" s="136"/>
      <c r="X21" s="136"/>
      <c r="Y21" s="136"/>
    </row>
    <row r="22" spans="1:25" ht="12.75" customHeight="1" x14ac:dyDescent="0.2">
      <c r="A22" s="147"/>
      <c r="W22" s="136"/>
      <c r="X22" s="136"/>
      <c r="Y22" s="136"/>
    </row>
    <row r="23" spans="1:25" ht="12.75" customHeight="1" x14ac:dyDescent="0.2">
      <c r="A23" s="147"/>
      <c r="W23" s="136"/>
      <c r="X23" s="136"/>
      <c r="Y23" s="136"/>
    </row>
    <row r="24" spans="1:25" ht="12.75" customHeight="1" x14ac:dyDescent="0.2">
      <c r="A24" s="147"/>
      <c r="W24" s="136"/>
      <c r="X24" s="136"/>
      <c r="Y24" s="136"/>
    </row>
    <row r="25" spans="1:25" ht="12.75" customHeight="1" x14ac:dyDescent="0.2">
      <c r="A25" s="147"/>
    </row>
    <row r="26" spans="1:25" ht="12.75" customHeight="1" x14ac:dyDescent="0.2">
      <c r="A26" s="147"/>
    </row>
    <row r="27" spans="1:25" ht="12.75" customHeight="1" x14ac:dyDescent="0.2">
      <c r="A27" s="147"/>
    </row>
    <row r="28" spans="1:25" ht="12.75" customHeight="1" x14ac:dyDescent="0.2">
      <c r="A28" s="162"/>
      <c r="C28" s="55"/>
    </row>
    <row r="29" spans="1:25" ht="12.75" customHeight="1" x14ac:dyDescent="0.2">
      <c r="A29" s="147"/>
    </row>
    <row r="30" spans="1:25" ht="12.75" customHeight="1" x14ac:dyDescent="0.2">
      <c r="A30" s="147"/>
    </row>
    <row r="31" spans="1:25" ht="13.5" customHeight="1" x14ac:dyDescent="0.2">
      <c r="A31" s="147"/>
    </row>
    <row r="32" spans="1:25" ht="13.5" thickBot="1" x14ac:dyDescent="0.25"/>
    <row r="33" spans="1:1" x14ac:dyDescent="0.2">
      <c r="A33" s="551" t="s">
        <v>329</v>
      </c>
    </row>
    <row r="34" spans="1:1" x14ac:dyDescent="0.2">
      <c r="A34" s="552"/>
    </row>
    <row r="35" spans="1:1" x14ac:dyDescent="0.2">
      <c r="A35" s="552"/>
    </row>
    <row r="36" spans="1:1" x14ac:dyDescent="0.2">
      <c r="A36" s="552"/>
    </row>
    <row r="37" spans="1:1" x14ac:dyDescent="0.2">
      <c r="A37" s="552"/>
    </row>
    <row r="38" spans="1:1" x14ac:dyDescent="0.2">
      <c r="A38" s="552"/>
    </row>
    <row r="39" spans="1:1" x14ac:dyDescent="0.2">
      <c r="A39" s="552"/>
    </row>
    <row r="40" spans="1:1" x14ac:dyDescent="0.2">
      <c r="A40" s="552"/>
    </row>
    <row r="41" spans="1:1" x14ac:dyDescent="0.2">
      <c r="A41" s="552"/>
    </row>
    <row r="42" spans="1:1" x14ac:dyDescent="0.2">
      <c r="A42" s="552"/>
    </row>
    <row r="43" spans="1:1" ht="13.5" thickBot="1" x14ac:dyDescent="0.25">
      <c r="A43" s="553"/>
    </row>
    <row r="49" spans="1:3" ht="13.5" thickBot="1" x14ac:dyDescent="0.25"/>
    <row r="50" spans="1:3" x14ac:dyDescent="0.2">
      <c r="A50" s="556" t="s">
        <v>328</v>
      </c>
      <c r="B50" s="154" t="s">
        <v>308</v>
      </c>
      <c r="C50" s="152" t="s">
        <v>309</v>
      </c>
    </row>
    <row r="51" spans="1:3" ht="13.5" thickBot="1" x14ac:dyDescent="0.25">
      <c r="A51" s="557"/>
      <c r="B51" s="155">
        <f>P7</f>
        <v>0</v>
      </c>
      <c r="C51" s="153">
        <f>Q7</f>
        <v>0</v>
      </c>
    </row>
    <row r="52" spans="1:3" x14ac:dyDescent="0.2">
      <c r="A52" s="557"/>
      <c r="B52" s="8"/>
    </row>
    <row r="53" spans="1:3" x14ac:dyDescent="0.2">
      <c r="A53" s="557"/>
      <c r="B53" s="8"/>
    </row>
    <row r="54" spans="1:3" x14ac:dyDescent="0.2">
      <c r="A54" s="557"/>
      <c r="B54" s="8"/>
    </row>
    <row r="55" spans="1:3" x14ac:dyDescent="0.2">
      <c r="A55" s="557"/>
      <c r="B55" s="8"/>
    </row>
    <row r="56" spans="1:3" x14ac:dyDescent="0.2">
      <c r="A56" s="557"/>
      <c r="B56" s="8"/>
    </row>
    <row r="57" spans="1:3" x14ac:dyDescent="0.2">
      <c r="A57" s="557"/>
      <c r="B57" s="8"/>
    </row>
    <row r="58" spans="1:3" x14ac:dyDescent="0.2">
      <c r="A58" s="557"/>
      <c r="B58" s="8"/>
    </row>
    <row r="59" spans="1:3" x14ac:dyDescent="0.2">
      <c r="A59" s="557"/>
      <c r="B59" s="8"/>
    </row>
    <row r="60" spans="1:3" ht="13.5" thickBot="1" x14ac:dyDescent="0.25">
      <c r="A60" s="558"/>
      <c r="B60" s="8"/>
    </row>
    <row r="62" spans="1:3" x14ac:dyDescent="0.2">
      <c r="C62" s="161"/>
    </row>
    <row r="63" spans="1:3" ht="13.5" thickBot="1" x14ac:dyDescent="0.25"/>
    <row r="64" spans="1:3" ht="13.5" thickBot="1" x14ac:dyDescent="0.25">
      <c r="A64" s="556" t="s">
        <v>327</v>
      </c>
      <c r="B64" s="157" t="s">
        <v>310</v>
      </c>
    </row>
    <row r="65" spans="1:3" ht="13.5" thickBot="1" x14ac:dyDescent="0.25">
      <c r="A65" s="557"/>
      <c r="B65" s="156">
        <f>S7</f>
        <v>0</v>
      </c>
    </row>
    <row r="66" spans="1:3" x14ac:dyDescent="0.2">
      <c r="A66" s="557"/>
    </row>
    <row r="67" spans="1:3" x14ac:dyDescent="0.2">
      <c r="A67" s="557"/>
    </row>
    <row r="68" spans="1:3" x14ac:dyDescent="0.2">
      <c r="A68" s="557"/>
    </row>
    <row r="69" spans="1:3" x14ac:dyDescent="0.2">
      <c r="A69" s="557"/>
    </row>
    <row r="70" spans="1:3" x14ac:dyDescent="0.2">
      <c r="A70" s="557"/>
    </row>
    <row r="71" spans="1:3" x14ac:dyDescent="0.2">
      <c r="A71" s="557"/>
    </row>
    <row r="72" spans="1:3" x14ac:dyDescent="0.2">
      <c r="A72" s="557"/>
    </row>
    <row r="73" spans="1:3" x14ac:dyDescent="0.2">
      <c r="A73" s="557"/>
    </row>
    <row r="74" spans="1:3" ht="13.5" thickBot="1" x14ac:dyDescent="0.25">
      <c r="A74" s="558"/>
    </row>
    <row r="77" spans="1:3" ht="13.5" thickBot="1" x14ac:dyDescent="0.25"/>
    <row r="78" spans="1:3" ht="26.25" thickBot="1" x14ac:dyDescent="0.25">
      <c r="A78" s="556" t="s">
        <v>326</v>
      </c>
      <c r="B78" s="165" t="s">
        <v>330</v>
      </c>
      <c r="C78" s="164" t="s">
        <v>331</v>
      </c>
    </row>
    <row r="79" spans="1:3" ht="13.5" thickBot="1" x14ac:dyDescent="0.25">
      <c r="A79" s="557"/>
      <c r="B79" s="163"/>
      <c r="C79" s="156">
        <f>N7</f>
        <v>0</v>
      </c>
    </row>
    <row r="80" spans="1:3" x14ac:dyDescent="0.2">
      <c r="A80" s="557"/>
    </row>
    <row r="81" spans="1:4" x14ac:dyDescent="0.2">
      <c r="A81" s="557"/>
    </row>
    <row r="82" spans="1:4" x14ac:dyDescent="0.2">
      <c r="A82" s="557"/>
    </row>
    <row r="83" spans="1:4" x14ac:dyDescent="0.2">
      <c r="A83" s="557"/>
    </row>
    <row r="84" spans="1:4" x14ac:dyDescent="0.2">
      <c r="A84" s="557"/>
    </row>
    <row r="85" spans="1:4" x14ac:dyDescent="0.2">
      <c r="A85" s="557"/>
    </row>
    <row r="86" spans="1:4" x14ac:dyDescent="0.2">
      <c r="A86" s="557"/>
    </row>
    <row r="87" spans="1:4" x14ac:dyDescent="0.2">
      <c r="A87" s="557"/>
    </row>
    <row r="88" spans="1:4" ht="13.5" thickBot="1" x14ac:dyDescent="0.25">
      <c r="A88" s="558"/>
    </row>
    <row r="94" spans="1:4" x14ac:dyDescent="0.2">
      <c r="D94" s="198"/>
    </row>
    <row r="96" spans="1:4" x14ac:dyDescent="0.2">
      <c r="A96" s="559" t="s">
        <v>325</v>
      </c>
    </row>
    <row r="97" spans="1:24" x14ac:dyDescent="0.2">
      <c r="A97" s="560"/>
    </row>
    <row r="98" spans="1:24" x14ac:dyDescent="0.2">
      <c r="A98" s="560"/>
    </row>
    <row r="99" spans="1:24" x14ac:dyDescent="0.2">
      <c r="A99" s="560"/>
    </row>
    <row r="100" spans="1:24" x14ac:dyDescent="0.2">
      <c r="A100" s="560"/>
    </row>
    <row r="101" spans="1:24" ht="13.5" thickBot="1" x14ac:dyDescent="0.25">
      <c r="A101" s="560"/>
    </row>
    <row r="102" spans="1:24" x14ac:dyDescent="0.2">
      <c r="A102" s="560"/>
      <c r="C102" s="539" t="s">
        <v>333</v>
      </c>
      <c r="D102" s="540"/>
      <c r="E102" s="540"/>
      <c r="F102" s="541"/>
    </row>
    <row r="103" spans="1:24" x14ac:dyDescent="0.2">
      <c r="A103" s="560"/>
      <c r="C103" s="542"/>
      <c r="D103" s="543"/>
      <c r="E103" s="543"/>
      <c r="F103" s="544"/>
    </row>
    <row r="104" spans="1:24" ht="13.5" thickBot="1" x14ac:dyDescent="0.25">
      <c r="A104" s="560"/>
      <c r="C104" s="545"/>
      <c r="D104" s="546"/>
      <c r="E104" s="546"/>
      <c r="F104" s="547"/>
    </row>
    <row r="105" spans="1:24" ht="12.75" customHeight="1" x14ac:dyDescent="0.2">
      <c r="A105" s="559" t="s">
        <v>324</v>
      </c>
      <c r="B105" s="170" t="s">
        <v>125</v>
      </c>
      <c r="C105" s="169" t="str">
        <f>IF(AND(F7&gt;=6, G7&gt;=5), "ЛА", "")</f>
        <v/>
      </c>
      <c r="D105" s="169" t="str">
        <f>IF(AND(F7&gt;=6, H7&gt;=5), "ЛС", "")</f>
        <v/>
      </c>
      <c r="E105" s="169" t="str">
        <f>IF(AND(F7&gt;=6, L7&gt;=6), "ЛИ", "")</f>
        <v/>
      </c>
      <c r="F105" s="169"/>
      <c r="G105" s="133"/>
      <c r="H105" s="66"/>
      <c r="I105" s="66"/>
      <c r="J105" s="66"/>
      <c r="Q105" s="133"/>
      <c r="R105" s="133"/>
      <c r="S105" s="133"/>
      <c r="T105" s="66"/>
      <c r="U105" s="133"/>
      <c r="V105" s="66"/>
      <c r="W105" s="66"/>
      <c r="X105" s="66"/>
    </row>
    <row r="106" spans="1:24" x14ac:dyDescent="0.2">
      <c r="A106" s="560"/>
      <c r="B106" s="170" t="s">
        <v>129</v>
      </c>
      <c r="C106" s="167" t="str">
        <f>IF(AND(J7&gt;=6, K7&gt;=6), "ШЭ", "")</f>
        <v/>
      </c>
      <c r="D106" s="167" t="str">
        <f>IF(AND(J7&gt;=6, L7&gt;=6), "ШИ", "")</f>
        <v/>
      </c>
      <c r="E106" s="167" t="str">
        <f>IF(AND(J7&gt;=6, M7&gt;=6), "ШН", "")</f>
        <v/>
      </c>
      <c r="F106" s="66"/>
      <c r="G106" s="66"/>
      <c r="H106" s="66"/>
      <c r="I106" s="66"/>
      <c r="J106" s="66"/>
      <c r="Q106" s="133"/>
      <c r="R106" s="66"/>
      <c r="S106" s="66"/>
      <c r="T106" s="66"/>
      <c r="U106" s="66"/>
      <c r="V106" s="66"/>
      <c r="W106" s="66"/>
      <c r="X106" s="66"/>
    </row>
    <row r="107" spans="1:24" x14ac:dyDescent="0.2">
      <c r="A107" s="560"/>
      <c r="B107" s="170" t="s">
        <v>311</v>
      </c>
      <c r="C107" s="167" t="str">
        <f>IF(AND(K7&gt;=6, L7&gt;=6), "ЭИ", "")</f>
        <v/>
      </c>
      <c r="D107" s="167" t="str">
        <f>IF(AND(K7&gt;=6, M7&gt;=6), "ЭН", "")</f>
        <v/>
      </c>
      <c r="E107" s="167" t="str">
        <f>IF(AND(L7&gt;=6, M7&gt;=6), "ИН", "")</f>
        <v/>
      </c>
      <c r="F107" s="66"/>
      <c r="G107" s="133"/>
      <c r="H107" s="66"/>
      <c r="I107" s="133"/>
      <c r="J107" s="66"/>
      <c r="Q107" s="133"/>
      <c r="R107" s="66"/>
      <c r="S107" s="133"/>
      <c r="T107" s="66"/>
      <c r="U107" s="133"/>
      <c r="V107" s="66"/>
      <c r="W107" s="133"/>
      <c r="X107" s="66"/>
    </row>
    <row r="108" spans="1:24" x14ac:dyDescent="0.2">
      <c r="A108" s="560"/>
      <c r="B108" s="170" t="s">
        <v>312</v>
      </c>
      <c r="C108" s="167" t="str">
        <f>IF(AND(D7&gt;=7, E7&gt;=6), "ГЦ", "")</f>
        <v/>
      </c>
      <c r="D108" s="167" t="str">
        <f>IF(AND(D7&gt;=7, M7&gt;=6), "ГН", "")</f>
        <v/>
      </c>
      <c r="E108" s="167" t="str">
        <f>IF(AND(D7&gt;=7, L7&gt;=6), "ГИ", "")</f>
        <v/>
      </c>
      <c r="F108" s="66"/>
      <c r="G108" s="133"/>
      <c r="H108" s="66"/>
      <c r="I108" s="66"/>
      <c r="J108" s="66"/>
      <c r="Q108" s="133"/>
      <c r="R108" s="66"/>
      <c r="S108" s="133"/>
      <c r="T108" s="66"/>
      <c r="U108" s="133"/>
      <c r="V108" s="66"/>
      <c r="W108" s="66"/>
      <c r="X108" s="66"/>
    </row>
    <row r="109" spans="1:24" x14ac:dyDescent="0.2">
      <c r="A109" s="560"/>
      <c r="B109" s="170" t="s">
        <v>126</v>
      </c>
      <c r="C109" s="168" t="str">
        <f>IF(AND(G7&gt;=5, H7&gt;=6), "АС", "")</f>
        <v/>
      </c>
      <c r="D109" s="168" t="str">
        <f>IF(AND(G7&gt;=5, I7&gt;=6), "АП", "")</f>
        <v/>
      </c>
      <c r="E109" s="167" t="str">
        <f>IF(AND(G7&gt;=5, L7&gt;=6), "АИ", "")</f>
        <v/>
      </c>
      <c r="F109" s="66"/>
      <c r="G109" s="133"/>
      <c r="H109" s="66"/>
      <c r="I109" s="66"/>
      <c r="J109" s="66"/>
      <c r="Q109" s="133"/>
      <c r="R109" s="66"/>
      <c r="S109" s="133"/>
      <c r="T109" s="66"/>
      <c r="U109" s="66"/>
      <c r="V109" s="66"/>
      <c r="W109" s="66"/>
      <c r="X109" s="66"/>
    </row>
    <row r="110" spans="1:24" x14ac:dyDescent="0.2">
      <c r="A110" s="560"/>
      <c r="B110" s="170" t="s">
        <v>127</v>
      </c>
      <c r="C110" s="168" t="str">
        <f>IF(AND(H7&gt;=6, I7&gt;=6), "СП", "")</f>
        <v/>
      </c>
      <c r="D110" s="168" t="str">
        <f>IF(AND(H7&gt;=6, J7&gt;=6), "СШ", "")</f>
        <v/>
      </c>
      <c r="E110" s="133"/>
      <c r="F110" s="66"/>
      <c r="G110" s="66"/>
      <c r="H110" s="66"/>
      <c r="I110" s="66"/>
      <c r="J110" s="66"/>
      <c r="Q110" s="133"/>
      <c r="R110" s="66"/>
      <c r="S110" s="66"/>
      <c r="T110" s="66"/>
      <c r="U110" s="66"/>
      <c r="V110" s="66"/>
      <c r="W110" s="66"/>
      <c r="X110" s="66"/>
    </row>
    <row r="111" spans="1:24" x14ac:dyDescent="0.2">
      <c r="A111" s="560"/>
      <c r="B111" s="170" t="s">
        <v>128</v>
      </c>
      <c r="C111" s="167" t="str">
        <f>IF(AND(I7&gt;=6, J7&gt;=6), "ПШ", "")</f>
        <v/>
      </c>
      <c r="D111" s="129"/>
      <c r="E111" s="133"/>
      <c r="F111" s="66"/>
      <c r="G111" s="133"/>
      <c r="H111" s="66"/>
      <c r="I111" s="66"/>
      <c r="J111" s="66"/>
      <c r="Q111" s="133"/>
      <c r="R111" s="66"/>
      <c r="S111" s="133"/>
      <c r="T111" s="66"/>
      <c r="U111" s="133"/>
      <c r="V111" s="66"/>
      <c r="W111" s="66"/>
      <c r="X111" s="66"/>
    </row>
    <row r="112" spans="1:24" x14ac:dyDescent="0.2">
      <c r="A112" s="560"/>
      <c r="B112" s="133"/>
      <c r="C112" s="133"/>
      <c r="D112" s="66"/>
      <c r="E112" s="133"/>
      <c r="F112" s="66"/>
      <c r="G112" s="66"/>
      <c r="Q112" s="133"/>
      <c r="R112" s="66"/>
      <c r="S112" s="133"/>
      <c r="T112" s="66"/>
      <c r="U112" s="66"/>
      <c r="V112" s="66"/>
      <c r="W112" s="66"/>
      <c r="X112" s="66"/>
    </row>
    <row r="113" spans="1:31" x14ac:dyDescent="0.2">
      <c r="A113" s="560"/>
      <c r="B113" s="66"/>
      <c r="C113" s="133"/>
      <c r="D113" s="66"/>
      <c r="E113" s="66"/>
      <c r="F113" s="66"/>
      <c r="G113" s="66"/>
      <c r="Q113" s="133"/>
      <c r="R113" s="66"/>
      <c r="S113" s="66"/>
      <c r="T113" s="66"/>
      <c r="U113" s="66"/>
      <c r="V113" s="66"/>
      <c r="W113" s="66"/>
      <c r="X113" s="66"/>
    </row>
    <row r="114" spans="1:31" ht="12.75" customHeight="1" x14ac:dyDescent="0.2">
      <c r="A114" s="559" t="s">
        <v>323</v>
      </c>
    </row>
    <row r="115" spans="1:31" ht="13.5" thickBot="1" x14ac:dyDescent="0.25">
      <c r="A115" s="560"/>
    </row>
    <row r="116" spans="1:31" ht="43.5" customHeight="1" x14ac:dyDescent="0.2">
      <c r="A116" s="560"/>
      <c r="H116" s="530" t="s">
        <v>337</v>
      </c>
      <c r="I116" s="531"/>
      <c r="J116" s="531"/>
      <c r="K116" s="531"/>
      <c r="L116" s="531"/>
      <c r="M116" s="532"/>
    </row>
    <row r="117" spans="1:31" x14ac:dyDescent="0.2">
      <c r="A117" s="560"/>
      <c r="H117" s="533"/>
      <c r="I117" s="534"/>
      <c r="J117" s="534"/>
      <c r="K117" s="534"/>
      <c r="L117" s="534"/>
      <c r="M117" s="535"/>
    </row>
    <row r="118" spans="1:31" ht="25.5" customHeight="1" thickBot="1" x14ac:dyDescent="0.25">
      <c r="A118" s="560"/>
      <c r="H118" s="536"/>
      <c r="I118" s="537"/>
      <c r="J118" s="537"/>
      <c r="K118" s="537"/>
      <c r="L118" s="537"/>
      <c r="M118" s="538"/>
    </row>
    <row r="119" spans="1:31" ht="12.75" hidden="1" customHeight="1" x14ac:dyDescent="0.2">
      <c r="A119" s="560"/>
      <c r="G119" s="8"/>
      <c r="H119" s="521" t="s">
        <v>336</v>
      </c>
      <c r="I119" s="522"/>
      <c r="J119" s="522"/>
      <c r="K119" s="522"/>
      <c r="L119" s="522"/>
      <c r="M119" s="523"/>
    </row>
    <row r="120" spans="1:31" hidden="1" x14ac:dyDescent="0.2">
      <c r="A120" s="560"/>
      <c r="G120" s="8"/>
      <c r="H120" s="524"/>
      <c r="I120" s="525"/>
      <c r="J120" s="525"/>
      <c r="K120" s="525"/>
      <c r="L120" s="525"/>
      <c r="M120" s="526"/>
    </row>
    <row r="121" spans="1:31" ht="13.5" hidden="1" thickBot="1" x14ac:dyDescent="0.25">
      <c r="A121" s="560"/>
      <c r="B121" s="158">
        <v>1</v>
      </c>
      <c r="C121" s="158">
        <v>2</v>
      </c>
      <c r="D121" s="158">
        <v>3</v>
      </c>
      <c r="E121" s="158">
        <v>4</v>
      </c>
      <c r="F121" s="166">
        <v>5</v>
      </c>
      <c r="G121" s="199">
        <v>6</v>
      </c>
      <c r="H121" s="527"/>
      <c r="I121" s="528"/>
      <c r="J121" s="528"/>
      <c r="K121" s="528"/>
      <c r="L121" s="528"/>
      <c r="M121" s="529"/>
      <c r="T121" s="520">
        <v>1</v>
      </c>
      <c r="U121" s="520"/>
      <c r="V121" s="520">
        <v>2</v>
      </c>
      <c r="W121" s="520"/>
      <c r="X121" s="548">
        <v>3</v>
      </c>
      <c r="Y121" s="548"/>
      <c r="Z121" s="520">
        <v>4</v>
      </c>
      <c r="AA121" s="520"/>
      <c r="AB121" s="520">
        <v>5</v>
      </c>
      <c r="AC121" s="520"/>
      <c r="AD121" s="520">
        <v>6</v>
      </c>
      <c r="AE121" s="520"/>
    </row>
    <row r="122" spans="1:31" x14ac:dyDescent="0.2">
      <c r="A122" s="559" t="s">
        <v>322</v>
      </c>
      <c r="B122" s="200" t="s">
        <v>135</v>
      </c>
      <c r="C122" s="173" t="s">
        <v>140</v>
      </c>
      <c r="D122" s="173" t="s">
        <v>145</v>
      </c>
      <c r="E122" s="173" t="s">
        <v>148</v>
      </c>
      <c r="F122" s="201" t="s">
        <v>151</v>
      </c>
      <c r="G122" s="173" t="s">
        <v>154</v>
      </c>
      <c r="H122" s="169" t="str">
        <f>IF(AND(T122,U122&gt;0,T122=U122), "Г", "")</f>
        <v/>
      </c>
      <c r="I122" s="169" t="str">
        <f>IF(AND(V122,W122&gt;0,V122=W122), "А", "")</f>
        <v/>
      </c>
      <c r="J122" s="169" t="str">
        <f>IF(AND(X122,Y122&gt;0, X122=Y122), "П", "")</f>
        <v/>
      </c>
      <c r="K122" s="169" t="str">
        <f>IF(AND(Z122,AA122&gt;0,Z122=AA122), "Ш", "")</f>
        <v/>
      </c>
      <c r="L122" s="169" t="str">
        <f>IF(AND(AB122,AC122&gt;0,AB122=AC122), "Э", "")</f>
        <v/>
      </c>
      <c r="M122" s="169" t="str">
        <f>IF(AND(AD122,AE122&gt;0,AD122=AE122), "Э", "")</f>
        <v/>
      </c>
      <c r="T122" s="130">
        <f>D7-7</f>
        <v>-7</v>
      </c>
      <c r="U122" s="197">
        <f>F7-6</f>
        <v>-6</v>
      </c>
      <c r="V122" s="71">
        <f>E7-6</f>
        <v>-6</v>
      </c>
      <c r="W122" s="71">
        <f>G7-5</f>
        <v>-5</v>
      </c>
      <c r="X122" s="71">
        <f>F7-6</f>
        <v>-6</v>
      </c>
      <c r="Y122" s="71">
        <f>I7-6</f>
        <v>-4</v>
      </c>
      <c r="Z122" s="71">
        <f>G7-5</f>
        <v>-5</v>
      </c>
      <c r="AA122" s="71">
        <f>J7-6</f>
        <v>-4</v>
      </c>
      <c r="AB122" s="71">
        <f>H7-6</f>
        <v>-5</v>
      </c>
      <c r="AC122" s="71">
        <f>K7-6</f>
        <v>-5</v>
      </c>
      <c r="AD122" s="71">
        <f>I7-6</f>
        <v>-4</v>
      </c>
      <c r="AE122" s="71">
        <f>K7-6</f>
        <v>-5</v>
      </c>
    </row>
    <row r="123" spans="1:31" x14ac:dyDescent="0.2">
      <c r="A123" s="559"/>
      <c r="B123" s="200" t="s">
        <v>136</v>
      </c>
      <c r="C123" s="173" t="s">
        <v>141</v>
      </c>
      <c r="D123" s="173" t="s">
        <v>146</v>
      </c>
      <c r="E123" s="173" t="s">
        <v>149</v>
      </c>
      <c r="F123" s="173" t="s">
        <v>152</v>
      </c>
      <c r="G123" s="173" t="s">
        <v>155</v>
      </c>
      <c r="H123" s="167" t="str">
        <f>IF(AND(T123,U123&gt;0,T123=U123), "А", "")</f>
        <v/>
      </c>
      <c r="I123" s="167" t="str">
        <f>IF(AND(V123,W123&gt;0,V123=W123), "С", "")</f>
        <v/>
      </c>
      <c r="J123" s="167" t="str">
        <f>IF(AND(X123,Y123&gt;0, X123=Y123), "Ш", "")</f>
        <v/>
      </c>
      <c r="K123" s="167" t="str">
        <f>IF(AND(Z123,AA123&gt;0,Z123=AA123), "Э", "")</f>
        <v/>
      </c>
      <c r="L123" s="167" t="str">
        <f>IF(AND(AB123,AC123&gt;0,AB123=AC123), "И", "")</f>
        <v/>
      </c>
      <c r="M123" s="167" t="str">
        <f>IF(AND(AD123,AE123&gt;0,AD123=AE123), "И", "")</f>
        <v/>
      </c>
      <c r="T123" s="71">
        <f>D7-7</f>
        <v>-7</v>
      </c>
      <c r="U123" s="197">
        <f>G7-5</f>
        <v>-5</v>
      </c>
      <c r="V123" s="71">
        <f>E7-6</f>
        <v>-6</v>
      </c>
      <c r="W123" s="71">
        <f>H7-6</f>
        <v>-5</v>
      </c>
      <c r="X123" s="71">
        <f>F7-6</f>
        <v>-6</v>
      </c>
      <c r="Y123" s="71">
        <f>J7-6</f>
        <v>-4</v>
      </c>
      <c r="Z123" s="71">
        <f>G7-5</f>
        <v>-5</v>
      </c>
      <c r="AA123" s="71">
        <f>K7-6</f>
        <v>-5</v>
      </c>
      <c r="AB123" s="71">
        <f>H7-6</f>
        <v>-5</v>
      </c>
      <c r="AC123" s="71">
        <f>L7-6</f>
        <v>-5</v>
      </c>
      <c r="AD123" s="71">
        <f>I7-6</f>
        <v>-4</v>
      </c>
      <c r="AE123" s="71">
        <f>L7-6</f>
        <v>-5</v>
      </c>
    </row>
    <row r="124" spans="1:31" x14ac:dyDescent="0.2">
      <c r="A124" s="559"/>
      <c r="B124" s="200" t="s">
        <v>137</v>
      </c>
      <c r="C124" s="173" t="s">
        <v>142</v>
      </c>
      <c r="D124" s="173" t="s">
        <v>147</v>
      </c>
      <c r="E124" s="173" t="s">
        <v>150</v>
      </c>
      <c r="F124" s="173" t="s">
        <v>153</v>
      </c>
      <c r="G124" s="173" t="s">
        <v>156</v>
      </c>
      <c r="H124" s="167" t="str">
        <f>IF(AND(T124,U124&gt;0,T124=U124), "Г", "")</f>
        <v/>
      </c>
      <c r="I124" s="167" t="str">
        <f>IF(AND(V124,W124&gt;0,V124=W124), "П", "")</f>
        <v/>
      </c>
      <c r="J124" s="167" t="str">
        <f>IF(AND(X124,Y124&gt;0, X124=Y124), "Э", "")</f>
        <v/>
      </c>
      <c r="K124" s="167" t="str">
        <f>IF(AND(Z124,AA124&gt;0,Z124=AA124), "Н", "")</f>
        <v/>
      </c>
      <c r="L124" s="167" t="str">
        <f>IF(AND(AB124,AC124&gt;0,AB124=AC124), "Н", "")</f>
        <v/>
      </c>
      <c r="M124" s="167" t="str">
        <f>IF(AND(AD124,AE124&gt;0,AD124=AE124), "Н", "")</f>
        <v/>
      </c>
      <c r="T124" s="71">
        <f>D7-7</f>
        <v>-7</v>
      </c>
      <c r="U124" s="197">
        <f>H7-6</f>
        <v>-5</v>
      </c>
      <c r="V124" s="71">
        <f>E7-6</f>
        <v>-6</v>
      </c>
      <c r="W124" s="71">
        <f>I7-6</f>
        <v>-4</v>
      </c>
      <c r="X124" s="71">
        <f>F7-6</f>
        <v>-6</v>
      </c>
      <c r="Y124" s="71">
        <f>K7-6</f>
        <v>-5</v>
      </c>
      <c r="Z124" s="71">
        <f>G7-5</f>
        <v>-5</v>
      </c>
      <c r="AA124" s="71">
        <f>M7-6</f>
        <v>-5</v>
      </c>
      <c r="AB124" s="71">
        <f>H7-6</f>
        <v>-5</v>
      </c>
      <c r="AC124" s="71">
        <f>M7-6</f>
        <v>-5</v>
      </c>
      <c r="AD124" s="71">
        <f>I7-6</f>
        <v>-4</v>
      </c>
      <c r="AE124" s="71">
        <f>M7-6</f>
        <v>-5</v>
      </c>
    </row>
    <row r="125" spans="1:31" x14ac:dyDescent="0.2">
      <c r="A125" s="559"/>
      <c r="B125" s="200" t="s">
        <v>138</v>
      </c>
      <c r="C125" s="173" t="s">
        <v>143</v>
      </c>
      <c r="D125" s="5"/>
      <c r="E125" s="5"/>
      <c r="F125" s="5"/>
      <c r="G125" s="5"/>
      <c r="H125" s="167" t="str">
        <f>IF(AND(T125,U125&gt;0,T125=U125), "П", "")</f>
        <v/>
      </c>
      <c r="I125" s="167" t="str">
        <f>IF(AND(V125,W125&gt;0,V125=W125), "Ш", "")</f>
        <v/>
      </c>
      <c r="J125" s="5"/>
      <c r="K125" s="5"/>
      <c r="L125" s="5"/>
      <c r="M125" s="5"/>
      <c r="T125" s="71">
        <f>D7-7</f>
        <v>-7</v>
      </c>
      <c r="U125" s="197">
        <f>I7-6</f>
        <v>-4</v>
      </c>
      <c r="V125" s="71">
        <f>E7-6</f>
        <v>-6</v>
      </c>
      <c r="W125" s="71">
        <f>J7-6</f>
        <v>-4</v>
      </c>
    </row>
    <row r="126" spans="1:31" x14ac:dyDescent="0.2">
      <c r="A126" s="559"/>
      <c r="B126" s="200" t="s">
        <v>139</v>
      </c>
      <c r="C126" s="173" t="s">
        <v>144</v>
      </c>
      <c r="D126" s="5"/>
      <c r="E126" s="5"/>
      <c r="F126" s="5"/>
      <c r="G126" s="5"/>
      <c r="H126" s="167" t="str">
        <f>IF(AND(T126,U126&gt;0,T126=U126), "Ш", "")</f>
        <v/>
      </c>
      <c r="I126" s="167" t="str">
        <f>IF(AND(V126,W126&gt;0,V126=W126), "Э", "")</f>
        <v/>
      </c>
      <c r="J126" s="5"/>
      <c r="K126" s="5"/>
      <c r="L126" s="5"/>
      <c r="M126" s="5"/>
      <c r="T126" s="71">
        <f>D7-7</f>
        <v>-7</v>
      </c>
      <c r="U126" s="197">
        <f>J7-6</f>
        <v>-4</v>
      </c>
      <c r="V126" s="71">
        <f>E7-6</f>
        <v>-6</v>
      </c>
      <c r="W126" s="71">
        <f>K7-6</f>
        <v>-5</v>
      </c>
    </row>
    <row r="127" spans="1:31" x14ac:dyDescent="0.2">
      <c r="A127" s="559"/>
      <c r="B127" s="200" t="s">
        <v>157</v>
      </c>
      <c r="C127" s="173" t="s">
        <v>158</v>
      </c>
      <c r="D127" s="5"/>
      <c r="E127" s="5"/>
      <c r="F127" s="5"/>
      <c r="G127" s="5"/>
      <c r="H127" s="167" t="str">
        <f>IF(AND(T127,U127&gt;0, T127=U127), "Г", "")</f>
        <v/>
      </c>
      <c r="I127" s="167" t="str">
        <f>IF(AND(V127,W127&gt;0,V127=W127), "И", "")</f>
        <v/>
      </c>
      <c r="J127" s="5"/>
      <c r="K127" s="5"/>
      <c r="L127" s="5"/>
      <c r="M127" s="5"/>
      <c r="T127" s="71">
        <f>D7-7</f>
        <v>-7</v>
      </c>
      <c r="U127" s="197">
        <f>K7-6</f>
        <v>-5</v>
      </c>
      <c r="V127" s="71">
        <f>E7-6</f>
        <v>-6</v>
      </c>
      <c r="W127" s="71">
        <f>L7-6</f>
        <v>-5</v>
      </c>
    </row>
    <row r="128" spans="1:31" x14ac:dyDescent="0.2">
      <c r="A128" s="559"/>
      <c r="B128" s="131"/>
      <c r="C128" s="173" t="s">
        <v>159</v>
      </c>
      <c r="D128" s="5"/>
      <c r="E128" s="5"/>
      <c r="F128" s="5"/>
      <c r="G128" s="5"/>
      <c r="H128" s="5"/>
      <c r="I128" s="168" t="str">
        <f>IF(AND(V128,W128&gt;0,V128=W128), "Н", "")</f>
        <v/>
      </c>
      <c r="J128" s="5"/>
      <c r="K128" s="5"/>
      <c r="L128" s="5"/>
      <c r="M128" s="5"/>
      <c r="U128" s="8"/>
      <c r="V128" s="71">
        <f>E7-6</f>
        <v>-6</v>
      </c>
      <c r="W128" s="71">
        <f>M7-6</f>
        <v>-5</v>
      </c>
    </row>
    <row r="129" spans="1:2" x14ac:dyDescent="0.2">
      <c r="A129" s="559"/>
      <c r="B129" s="8"/>
    </row>
    <row r="130" spans="1:2" x14ac:dyDescent="0.2">
      <c r="A130" s="559"/>
      <c r="B130" s="8"/>
    </row>
    <row r="131" spans="1:2" x14ac:dyDescent="0.2">
      <c r="A131" s="559"/>
      <c r="B131" s="8"/>
    </row>
    <row r="132" spans="1:2" x14ac:dyDescent="0.2">
      <c r="A132" s="559"/>
      <c r="B132" s="8"/>
    </row>
    <row r="133" spans="1:2" x14ac:dyDescent="0.2">
      <c r="A133" s="559"/>
      <c r="B133" s="8"/>
    </row>
    <row r="134" spans="1:2" x14ac:dyDescent="0.2">
      <c r="A134" s="559"/>
      <c r="B134" s="8"/>
    </row>
    <row r="135" spans="1:2" x14ac:dyDescent="0.2">
      <c r="A135" s="559"/>
      <c r="B135" s="8"/>
    </row>
    <row r="138" spans="1:2" ht="12.75" customHeight="1" x14ac:dyDescent="0.2">
      <c r="A138" s="549" t="s">
        <v>321</v>
      </c>
    </row>
    <row r="139" spans="1:2" x14ac:dyDescent="0.2">
      <c r="A139" s="550"/>
    </row>
    <row r="140" spans="1:2" x14ac:dyDescent="0.2">
      <c r="A140" s="550"/>
    </row>
    <row r="141" spans="1:2" x14ac:dyDescent="0.2">
      <c r="A141" s="550"/>
    </row>
    <row r="142" spans="1:2" x14ac:dyDescent="0.2">
      <c r="A142" s="550"/>
    </row>
    <row r="143" spans="1:2" x14ac:dyDescent="0.2">
      <c r="A143" s="550"/>
    </row>
    <row r="144" spans="1:2" x14ac:dyDescent="0.2">
      <c r="A144" s="550"/>
    </row>
    <row r="145" spans="1:1" x14ac:dyDescent="0.2">
      <c r="A145" s="550"/>
    </row>
    <row r="146" spans="1:1" x14ac:dyDescent="0.2">
      <c r="A146" s="550"/>
    </row>
    <row r="147" spans="1:1" x14ac:dyDescent="0.2">
      <c r="A147" s="550"/>
    </row>
    <row r="148" spans="1:1" x14ac:dyDescent="0.2">
      <c r="A148" s="550"/>
    </row>
    <row r="149" spans="1:1" x14ac:dyDescent="0.2">
      <c r="A149" s="550"/>
    </row>
    <row r="150" spans="1:1" x14ac:dyDescent="0.2">
      <c r="A150" s="550"/>
    </row>
    <row r="151" spans="1:1" x14ac:dyDescent="0.2">
      <c r="A151" s="550"/>
    </row>
    <row r="152" spans="1:1" x14ac:dyDescent="0.2">
      <c r="A152" s="550"/>
    </row>
    <row r="153" spans="1:1" x14ac:dyDescent="0.2">
      <c r="A153" s="550"/>
    </row>
    <row r="156" spans="1:1" x14ac:dyDescent="0.2">
      <c r="A156" s="549" t="s">
        <v>320</v>
      </c>
    </row>
    <row r="157" spans="1:1" x14ac:dyDescent="0.2">
      <c r="A157" s="550"/>
    </row>
    <row r="158" spans="1:1" x14ac:dyDescent="0.2">
      <c r="A158" s="550"/>
    </row>
    <row r="159" spans="1:1" x14ac:dyDescent="0.2">
      <c r="A159" s="550"/>
    </row>
    <row r="160" spans="1:1" x14ac:dyDescent="0.2">
      <c r="A160" s="550"/>
    </row>
    <row r="161" spans="1:1" x14ac:dyDescent="0.2">
      <c r="A161" s="550"/>
    </row>
    <row r="162" spans="1:1" x14ac:dyDescent="0.2">
      <c r="A162" s="550"/>
    </row>
    <row r="163" spans="1:1" x14ac:dyDescent="0.2">
      <c r="A163" s="550"/>
    </row>
    <row r="164" spans="1:1" x14ac:dyDescent="0.2">
      <c r="A164" s="550"/>
    </row>
    <row r="165" spans="1:1" x14ac:dyDescent="0.2">
      <c r="A165" s="550"/>
    </row>
    <row r="166" spans="1:1" x14ac:dyDescent="0.2">
      <c r="A166" s="550"/>
    </row>
    <row r="167" spans="1:1" x14ac:dyDescent="0.2">
      <c r="A167" s="550"/>
    </row>
    <row r="168" spans="1:1" x14ac:dyDescent="0.2">
      <c r="A168" s="550"/>
    </row>
    <row r="169" spans="1:1" x14ac:dyDescent="0.2">
      <c r="A169" s="550"/>
    </row>
    <row r="170" spans="1:1" x14ac:dyDescent="0.2">
      <c r="A170" s="550"/>
    </row>
    <row r="173" spans="1:1" ht="12.75" customHeight="1" x14ac:dyDescent="0.2">
      <c r="A173" s="549" t="s">
        <v>319</v>
      </c>
    </row>
    <row r="174" spans="1:1" x14ac:dyDescent="0.2">
      <c r="A174" s="550"/>
    </row>
    <row r="175" spans="1:1" x14ac:dyDescent="0.2">
      <c r="A175" s="550"/>
    </row>
    <row r="176" spans="1:1" x14ac:dyDescent="0.2">
      <c r="A176" s="550"/>
    </row>
    <row r="177" spans="1:1" x14ac:dyDescent="0.2">
      <c r="A177" s="550"/>
    </row>
    <row r="178" spans="1:1" x14ac:dyDescent="0.2">
      <c r="A178" s="550"/>
    </row>
    <row r="179" spans="1:1" x14ac:dyDescent="0.2">
      <c r="A179" s="550"/>
    </row>
    <row r="180" spans="1:1" x14ac:dyDescent="0.2">
      <c r="A180" s="550"/>
    </row>
    <row r="181" spans="1:1" x14ac:dyDescent="0.2">
      <c r="A181" s="550"/>
    </row>
    <row r="182" spans="1:1" x14ac:dyDescent="0.2">
      <c r="A182" s="550"/>
    </row>
    <row r="183" spans="1:1" x14ac:dyDescent="0.2">
      <c r="A183" s="550"/>
    </row>
    <row r="184" spans="1:1" x14ac:dyDescent="0.2">
      <c r="A184" s="550"/>
    </row>
    <row r="185" spans="1:1" x14ac:dyDescent="0.2">
      <c r="A185" s="550"/>
    </row>
    <row r="186" spans="1:1" x14ac:dyDescent="0.2">
      <c r="A186" s="550"/>
    </row>
    <row r="187" spans="1:1" x14ac:dyDescent="0.2">
      <c r="A187" s="550"/>
    </row>
    <row r="188" spans="1:1" x14ac:dyDescent="0.2">
      <c r="A188" s="550"/>
    </row>
    <row r="189" spans="1:1" x14ac:dyDescent="0.2">
      <c r="A189" s="550"/>
    </row>
    <row r="190" spans="1:1" x14ac:dyDescent="0.2">
      <c r="A190" s="550"/>
    </row>
    <row r="191" spans="1:1" x14ac:dyDescent="0.2">
      <c r="A191" s="550"/>
    </row>
    <row r="192" spans="1:1" x14ac:dyDescent="0.2">
      <c r="A192" s="550"/>
    </row>
    <row r="193" spans="1:1" x14ac:dyDescent="0.2">
      <c r="A193" s="550"/>
    </row>
    <row r="194" spans="1:1" x14ac:dyDescent="0.2">
      <c r="A194" s="550"/>
    </row>
    <row r="195" spans="1:1" x14ac:dyDescent="0.2">
      <c r="A195" s="550"/>
    </row>
  </sheetData>
  <mergeCells count="21">
    <mergeCell ref="A156:A170"/>
    <mergeCell ref="A173:A195"/>
    <mergeCell ref="A33:A43"/>
    <mergeCell ref="A10:A21"/>
    <mergeCell ref="A50:A60"/>
    <mergeCell ref="A64:A74"/>
    <mergeCell ref="A138:A153"/>
    <mergeCell ref="A114:A121"/>
    <mergeCell ref="A122:A135"/>
    <mergeCell ref="A78:A88"/>
    <mergeCell ref="A96:A104"/>
    <mergeCell ref="A105:A113"/>
    <mergeCell ref="AB121:AC121"/>
    <mergeCell ref="AD121:AE121"/>
    <mergeCell ref="H119:M121"/>
    <mergeCell ref="H116:M118"/>
    <mergeCell ref="C102:F104"/>
    <mergeCell ref="T121:U121"/>
    <mergeCell ref="V121:W121"/>
    <mergeCell ref="X121:Y121"/>
    <mergeCell ref="Z121:AA121"/>
  </mergeCells>
  <pageMargins left="0.7" right="0.7" top="0.75" bottom="0.75" header="0.3" footer="0.3"/>
  <pageSetup paperSize="9" orientation="portrait" horizontalDpi="0" verticalDpi="0" r:id="rId1"/>
  <ignoredErrors>
    <ignoredError sqref="H123"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5"/>
  <sheetViews>
    <sheetView showWhiteSpace="0" topLeftCell="A22" zoomScaleNormal="100" zoomScaleSheetLayoutView="100" workbookViewId="0">
      <selection activeCell="J30" sqref="J30"/>
    </sheetView>
  </sheetViews>
  <sheetFormatPr defaultRowHeight="12.75" x14ac:dyDescent="0.2"/>
  <cols>
    <col min="10" max="10" width="5.7109375" customWidth="1"/>
  </cols>
  <sheetData>
    <row r="1" spans="1:76" ht="13.5" thickBot="1" x14ac:dyDescent="0.25">
      <c r="A1" s="566" t="s">
        <v>334</v>
      </c>
      <c r="B1" s="567"/>
      <c r="C1" s="567"/>
      <c r="D1" s="567"/>
      <c r="E1" s="567"/>
      <c r="F1" s="567"/>
      <c r="G1" s="567"/>
      <c r="H1" s="567"/>
      <c r="I1" s="567"/>
      <c r="J1" s="567"/>
      <c r="K1" s="567"/>
      <c r="L1" s="567"/>
      <c r="M1" s="567"/>
      <c r="N1" s="567"/>
      <c r="O1" s="567"/>
      <c r="P1" s="567"/>
      <c r="Q1" s="567"/>
      <c r="R1" s="567"/>
      <c r="S1" s="567"/>
      <c r="T1" s="568"/>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row>
    <row r="2" spans="1:76" ht="13.5" customHeight="1" thickBot="1" x14ac:dyDescent="0.25">
      <c r="A2" s="569" t="s">
        <v>335</v>
      </c>
      <c r="B2" s="570"/>
      <c r="C2" s="570"/>
      <c r="D2" s="570"/>
      <c r="E2" s="570"/>
      <c r="F2" s="570"/>
      <c r="G2" s="570"/>
      <c r="H2" s="570"/>
      <c r="I2" s="570"/>
      <c r="J2" s="570"/>
      <c r="K2" s="570"/>
      <c r="L2" s="570"/>
      <c r="M2" s="570"/>
      <c r="N2" s="570"/>
      <c r="O2" s="570"/>
      <c r="P2" s="570"/>
      <c r="Q2" s="570"/>
      <c r="R2" s="570"/>
      <c r="S2" s="570"/>
      <c r="T2" s="570"/>
      <c r="U2" s="339" t="str">
        <f>ответы!AC34</f>
        <v/>
      </c>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row>
    <row r="3" spans="1:76" s="161" customFormat="1" ht="175.5" customHeight="1" thickBot="1" x14ac:dyDescent="0.25">
      <c r="A3" s="561" t="s">
        <v>476</v>
      </c>
      <c r="B3" s="562"/>
      <c r="C3" s="562"/>
      <c r="D3" s="562"/>
      <c r="E3" s="562"/>
      <c r="F3" s="562"/>
      <c r="G3" s="562"/>
      <c r="H3" s="562"/>
      <c r="I3" s="562"/>
      <c r="J3" s="562"/>
      <c r="K3" s="562"/>
      <c r="L3" s="562"/>
      <c r="M3" s="562"/>
      <c r="N3" s="562"/>
      <c r="O3" s="562"/>
      <c r="P3" s="562"/>
      <c r="Q3" s="562"/>
      <c r="R3" s="562"/>
      <c r="S3" s="562"/>
      <c r="T3" s="562"/>
      <c r="U3" s="338" t="s">
        <v>511</v>
      </c>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row>
    <row r="4" spans="1:76" ht="13.5" thickBot="1" x14ac:dyDescent="0.25">
      <c r="A4" s="66"/>
      <c r="B4" s="66"/>
      <c r="C4" s="66"/>
      <c r="D4" s="66"/>
      <c r="E4" s="66"/>
      <c r="F4" s="66"/>
      <c r="G4" s="66"/>
      <c r="H4" s="66"/>
      <c r="I4" s="66"/>
      <c r="J4" s="66"/>
      <c r="K4" s="66"/>
      <c r="L4" s="66"/>
      <c r="M4" s="66"/>
      <c r="N4" s="66"/>
      <c r="O4" s="66"/>
      <c r="P4" s="66"/>
      <c r="Q4" s="66"/>
      <c r="R4" s="66"/>
      <c r="S4" s="66"/>
      <c r="T4" s="66"/>
      <c r="U4" s="325"/>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row>
    <row r="5" spans="1:76" ht="123" customHeight="1" thickBot="1" x14ac:dyDescent="0.35">
      <c r="A5" s="561" t="s">
        <v>475</v>
      </c>
      <c r="B5" s="562"/>
      <c r="C5" s="562"/>
      <c r="D5" s="562"/>
      <c r="E5" s="562"/>
      <c r="F5" s="562"/>
      <c r="G5" s="562"/>
      <c r="H5" s="562"/>
      <c r="I5" s="562"/>
      <c r="J5" s="562"/>
      <c r="K5" s="562"/>
      <c r="L5" s="562"/>
      <c r="M5" s="562"/>
      <c r="N5" s="562"/>
      <c r="O5" s="562"/>
      <c r="P5" s="562"/>
      <c r="Q5" s="562"/>
      <c r="R5" s="562"/>
      <c r="S5" s="562"/>
      <c r="T5" s="562"/>
      <c r="U5" s="330" t="s">
        <v>512</v>
      </c>
      <c r="V5" s="129"/>
      <c r="W5" s="181"/>
      <c r="X5" s="129"/>
      <c r="Y5" s="182"/>
      <c r="Z5" s="33"/>
      <c r="AA5" s="129"/>
      <c r="AB5" s="129"/>
      <c r="AC5" s="179"/>
      <c r="AD5" s="182"/>
      <c r="AE5" s="129"/>
      <c r="AF5" s="179"/>
      <c r="AG5" s="32"/>
      <c r="AH5" s="32"/>
      <c r="AI5" s="33"/>
      <c r="AJ5" s="32"/>
      <c r="AK5" s="32"/>
      <c r="AL5" s="179"/>
      <c r="AM5" s="32"/>
      <c r="AN5" s="32"/>
      <c r="AO5" s="179"/>
      <c r="AP5" s="32"/>
      <c r="AQ5" s="32"/>
      <c r="AR5" s="179"/>
      <c r="AS5" s="32"/>
      <c r="AT5" s="32"/>
      <c r="AU5" s="179"/>
      <c r="AV5" s="32"/>
      <c r="AW5" s="32"/>
      <c r="AX5" s="179"/>
      <c r="AY5" s="32"/>
      <c r="AZ5" s="32"/>
      <c r="BA5" s="179"/>
      <c r="BB5" s="32"/>
      <c r="BC5" s="32"/>
      <c r="BD5" s="179"/>
      <c r="BE5" s="183"/>
      <c r="BF5" s="32"/>
      <c r="BG5" s="179"/>
      <c r="BH5" s="32"/>
      <c r="BI5" s="32"/>
      <c r="BJ5" s="179"/>
      <c r="BK5" s="32"/>
      <c r="BL5" s="32"/>
      <c r="BM5" s="179"/>
      <c r="BN5" s="32"/>
      <c r="BO5" s="32"/>
      <c r="BP5" s="184"/>
      <c r="BQ5" s="32"/>
      <c r="BR5" s="32"/>
      <c r="BS5" s="179"/>
      <c r="BT5" s="32"/>
      <c r="BU5" s="32"/>
      <c r="BV5" s="33"/>
      <c r="BW5" s="129"/>
      <c r="BX5" s="185"/>
    </row>
    <row r="6" spans="1:76" ht="19.5" customHeight="1" thickBot="1" x14ac:dyDescent="0.25">
      <c r="A6" s="193"/>
      <c r="B6" s="193"/>
      <c r="C6" s="193"/>
      <c r="D6" s="193"/>
      <c r="E6" s="193"/>
      <c r="F6" s="193"/>
      <c r="G6" s="193"/>
      <c r="H6" s="193"/>
      <c r="I6" s="193"/>
      <c r="J6" s="182"/>
      <c r="K6" s="179"/>
      <c r="L6" s="32"/>
      <c r="M6" s="32"/>
      <c r="N6" s="179"/>
      <c r="O6" s="32"/>
      <c r="P6" s="32"/>
      <c r="Q6" s="33"/>
      <c r="R6" s="32"/>
      <c r="S6" s="32"/>
      <c r="T6" s="181"/>
      <c r="U6" s="325"/>
      <c r="V6" s="32"/>
      <c r="W6" s="179"/>
      <c r="X6" s="32"/>
      <c r="Y6" s="32"/>
      <c r="Z6" s="33"/>
      <c r="AA6" s="129"/>
      <c r="AB6" s="129"/>
      <c r="AC6" s="179"/>
      <c r="AD6" s="32"/>
      <c r="AE6" s="32"/>
      <c r="AF6" s="33"/>
      <c r="AG6" s="32"/>
      <c r="AH6" s="32"/>
      <c r="AI6" s="179"/>
      <c r="AJ6" s="32"/>
      <c r="AK6" s="32"/>
      <c r="AL6" s="179"/>
      <c r="AM6" s="32"/>
      <c r="AN6" s="32"/>
      <c r="AO6" s="179"/>
      <c r="AP6" s="182"/>
      <c r="AQ6" s="129"/>
      <c r="AR6" s="179"/>
      <c r="AS6" s="32"/>
      <c r="AT6" s="32"/>
      <c r="AU6" s="179"/>
      <c r="AV6" s="32"/>
      <c r="AW6" s="32"/>
      <c r="AX6" s="179"/>
      <c r="AY6" s="32"/>
      <c r="AZ6" s="32"/>
      <c r="BA6" s="179"/>
      <c r="BB6" s="32"/>
      <c r="BC6" s="32"/>
      <c r="BD6" s="179"/>
      <c r="BE6" s="32"/>
      <c r="BF6" s="32"/>
      <c r="BG6" s="179"/>
      <c r="BH6" s="32"/>
      <c r="BI6" s="32"/>
      <c r="BJ6" s="179"/>
      <c r="BK6" s="32"/>
      <c r="BL6" s="32"/>
      <c r="BM6" s="179"/>
      <c r="BN6" s="32"/>
      <c r="BO6" s="32"/>
      <c r="BP6" s="179"/>
      <c r="BQ6" s="32"/>
      <c r="BR6" s="32"/>
      <c r="BS6" s="179"/>
      <c r="BT6" s="32"/>
      <c r="BU6" s="32"/>
      <c r="BV6" s="179"/>
      <c r="BW6" s="32"/>
      <c r="BX6" s="32"/>
    </row>
    <row r="7" spans="1:76" ht="99.75" customHeight="1" thickBot="1" x14ac:dyDescent="0.25">
      <c r="A7" s="561" t="s">
        <v>477</v>
      </c>
      <c r="B7" s="562"/>
      <c r="C7" s="562"/>
      <c r="D7" s="562"/>
      <c r="E7" s="562"/>
      <c r="F7" s="562"/>
      <c r="G7" s="562"/>
      <c r="H7" s="562"/>
      <c r="I7" s="562"/>
      <c r="J7" s="562"/>
      <c r="K7" s="562"/>
      <c r="L7" s="562"/>
      <c r="M7" s="562"/>
      <c r="N7" s="562"/>
      <c r="O7" s="562"/>
      <c r="P7" s="562"/>
      <c r="Q7" s="562"/>
      <c r="R7" s="562"/>
      <c r="S7" s="562"/>
      <c r="T7" s="562"/>
      <c r="U7" s="330" t="s">
        <v>513</v>
      </c>
      <c r="V7" s="32"/>
      <c r="W7" s="179"/>
      <c r="X7" s="32"/>
      <c r="Y7" s="32"/>
      <c r="Z7" s="179"/>
      <c r="AA7" s="32"/>
      <c r="AB7" s="32"/>
      <c r="AC7" s="179"/>
      <c r="AD7" s="32"/>
      <c r="AE7" s="32"/>
      <c r="AF7" s="33"/>
      <c r="AG7" s="129"/>
      <c r="AH7" s="129"/>
      <c r="AI7" s="179"/>
      <c r="AJ7" s="32"/>
      <c r="AK7" s="32"/>
      <c r="AL7" s="186"/>
      <c r="AM7" s="32"/>
      <c r="AN7" s="32"/>
      <c r="AO7" s="179"/>
      <c r="AP7" s="32"/>
      <c r="AQ7" s="32"/>
      <c r="AR7" s="179"/>
      <c r="AS7" s="182"/>
      <c r="AT7" s="129"/>
      <c r="AU7" s="33"/>
      <c r="AV7" s="32"/>
      <c r="AW7" s="32"/>
      <c r="AX7" s="33"/>
      <c r="AY7" s="129"/>
      <c r="AZ7" s="129"/>
      <c r="BA7" s="179"/>
      <c r="BB7" s="187"/>
      <c r="BC7" s="32"/>
      <c r="BD7" s="179"/>
      <c r="BE7" s="32"/>
      <c r="BF7" s="32"/>
      <c r="BG7" s="179"/>
      <c r="BH7" s="32"/>
      <c r="BI7" s="32"/>
      <c r="BJ7" s="179"/>
      <c r="BK7" s="32"/>
      <c r="BL7" s="32"/>
      <c r="BM7" s="179"/>
      <c r="BN7" s="32"/>
      <c r="BO7" s="32"/>
      <c r="BP7" s="33"/>
      <c r="BQ7" s="32"/>
      <c r="BR7" s="32"/>
      <c r="BS7" s="179"/>
      <c r="BT7" s="32"/>
      <c r="BU7" s="32"/>
      <c r="BV7" s="179"/>
      <c r="BW7" s="32"/>
      <c r="BX7" s="32"/>
    </row>
    <row r="8" spans="1:76" ht="17.25" customHeight="1" thickBot="1" x14ac:dyDescent="0.25">
      <c r="A8" s="194"/>
      <c r="B8" s="195"/>
      <c r="C8" s="195"/>
      <c r="D8" s="195"/>
      <c r="E8" s="195"/>
      <c r="F8" s="195"/>
      <c r="G8" s="195"/>
      <c r="H8" s="195"/>
      <c r="I8" s="195"/>
      <c r="J8" s="195"/>
      <c r="K8" s="33"/>
      <c r="L8" s="129"/>
      <c r="M8" s="32"/>
      <c r="N8" s="179"/>
      <c r="O8" s="32"/>
      <c r="P8" s="32"/>
      <c r="Q8" s="179"/>
      <c r="R8" s="182"/>
      <c r="S8" s="182"/>
      <c r="T8" s="181"/>
      <c r="U8" s="325"/>
      <c r="V8" s="32"/>
      <c r="W8" s="179"/>
      <c r="X8" s="32"/>
      <c r="Y8" s="32"/>
      <c r="Z8" s="179"/>
      <c r="AA8" s="32"/>
      <c r="AB8" s="32"/>
      <c r="AC8" s="179"/>
      <c r="AD8" s="32"/>
      <c r="AE8" s="32"/>
      <c r="AF8" s="179"/>
      <c r="AG8" s="32"/>
      <c r="AH8" s="32"/>
      <c r="AI8" s="179"/>
      <c r="AJ8" s="32"/>
      <c r="AK8" s="32"/>
      <c r="AL8" s="179"/>
      <c r="AM8" s="32"/>
      <c r="AN8" s="32"/>
      <c r="AO8" s="179"/>
      <c r="AP8" s="32"/>
      <c r="AQ8" s="32"/>
      <c r="AR8" s="179"/>
      <c r="AS8" s="32"/>
      <c r="AT8" s="32"/>
      <c r="AU8" s="179"/>
      <c r="AV8" s="32"/>
      <c r="AW8" s="32"/>
      <c r="AX8" s="179"/>
      <c r="AY8" s="32"/>
      <c r="AZ8" s="32"/>
      <c r="BA8" s="33"/>
      <c r="BB8" s="32"/>
      <c r="BC8" s="32"/>
      <c r="BD8" s="179"/>
      <c r="BE8" s="32"/>
      <c r="BF8" s="32"/>
      <c r="BG8" s="179"/>
      <c r="BH8" s="32"/>
      <c r="BI8" s="32"/>
      <c r="BJ8" s="179"/>
      <c r="BK8" s="182"/>
      <c r="BL8" s="129"/>
      <c r="BM8" s="179"/>
      <c r="BN8" s="32"/>
      <c r="BO8" s="32"/>
      <c r="BP8" s="179"/>
      <c r="BQ8" s="32"/>
      <c r="BR8" s="32"/>
      <c r="BS8" s="179"/>
      <c r="BT8" s="32"/>
      <c r="BU8" s="32"/>
      <c r="BV8" s="33"/>
      <c r="BW8" s="32"/>
      <c r="BX8" s="32"/>
    </row>
    <row r="9" spans="1:76" ht="48" customHeight="1" thickBot="1" x14ac:dyDescent="0.25">
      <c r="A9" s="561" t="s">
        <v>478</v>
      </c>
      <c r="B9" s="562"/>
      <c r="C9" s="562"/>
      <c r="D9" s="562"/>
      <c r="E9" s="562"/>
      <c r="F9" s="562"/>
      <c r="G9" s="562"/>
      <c r="H9" s="562"/>
      <c r="I9" s="562"/>
      <c r="J9" s="562"/>
      <c r="K9" s="562"/>
      <c r="L9" s="562"/>
      <c r="M9" s="562"/>
      <c r="N9" s="562"/>
      <c r="O9" s="562"/>
      <c r="P9" s="562"/>
      <c r="Q9" s="562"/>
      <c r="R9" s="562"/>
      <c r="S9" s="562"/>
      <c r="T9" s="562"/>
      <c r="U9" s="330" t="s">
        <v>514</v>
      </c>
      <c r="V9" s="32"/>
      <c r="W9" s="179"/>
      <c r="X9" s="32"/>
      <c r="Y9" s="32"/>
      <c r="Z9" s="179"/>
      <c r="AA9" s="32"/>
      <c r="AB9" s="32"/>
      <c r="AC9" s="179"/>
      <c r="AD9" s="32"/>
      <c r="AE9" s="32"/>
      <c r="AF9" s="179"/>
      <c r="AG9" s="32"/>
      <c r="AH9" s="32"/>
      <c r="AI9" s="179"/>
      <c r="AJ9" s="32"/>
      <c r="AK9" s="32"/>
      <c r="AL9" s="179"/>
      <c r="AM9" s="32"/>
      <c r="AN9" s="32"/>
      <c r="AO9" s="179"/>
      <c r="AP9" s="32"/>
      <c r="AQ9" s="32"/>
      <c r="AR9" s="179"/>
      <c r="AS9" s="32"/>
      <c r="AT9" s="32"/>
      <c r="AU9" s="179"/>
      <c r="AV9" s="32"/>
      <c r="AW9" s="32"/>
      <c r="AX9" s="179"/>
      <c r="AY9" s="32"/>
      <c r="AZ9" s="32"/>
      <c r="BA9" s="179"/>
      <c r="BB9" s="32"/>
      <c r="BC9" s="32"/>
      <c r="BD9" s="179"/>
      <c r="BE9" s="32"/>
      <c r="BF9" s="32"/>
      <c r="BG9" s="179"/>
      <c r="BH9" s="32"/>
      <c r="BI9" s="32"/>
      <c r="BJ9" s="33"/>
      <c r="BK9" s="32"/>
      <c r="BL9" s="32"/>
      <c r="BM9" s="179"/>
      <c r="BN9" s="32"/>
      <c r="BO9" s="32"/>
      <c r="BP9" s="179"/>
      <c r="BQ9" s="32"/>
      <c r="BR9" s="32"/>
      <c r="BS9" s="179"/>
      <c r="BT9" s="32"/>
      <c r="BU9" s="32"/>
      <c r="BV9" s="33"/>
      <c r="BW9" s="32"/>
      <c r="BX9" s="32"/>
    </row>
    <row r="10" spans="1:76" ht="15.75" customHeight="1" thickBot="1" x14ac:dyDescent="0.25">
      <c r="A10" s="193"/>
      <c r="B10" s="193"/>
      <c r="C10" s="193"/>
      <c r="D10" s="193"/>
      <c r="E10" s="193"/>
      <c r="F10" s="193"/>
      <c r="G10" s="193"/>
      <c r="H10" s="193"/>
      <c r="I10" s="193"/>
      <c r="J10" s="129"/>
      <c r="K10" s="179"/>
      <c r="L10" s="182"/>
      <c r="M10" s="129"/>
      <c r="N10" s="179"/>
      <c r="O10" s="182"/>
      <c r="P10" s="129"/>
      <c r="Q10" s="179"/>
      <c r="R10" s="182"/>
      <c r="S10" s="182"/>
      <c r="T10" s="181"/>
      <c r="U10" s="325"/>
      <c r="V10" s="32"/>
      <c r="W10" s="179"/>
      <c r="X10" s="182"/>
      <c r="Y10" s="129"/>
      <c r="Z10" s="179"/>
      <c r="AA10" s="32"/>
      <c r="AB10" s="32"/>
      <c r="AC10" s="179"/>
      <c r="AD10" s="32"/>
      <c r="AE10" s="32"/>
      <c r="AF10" s="179"/>
      <c r="AG10" s="32"/>
      <c r="AH10" s="32"/>
      <c r="AI10" s="179"/>
      <c r="AJ10" s="32"/>
      <c r="AK10" s="32"/>
      <c r="AL10" s="179"/>
      <c r="AM10" s="32"/>
      <c r="AN10" s="32"/>
      <c r="AO10" s="179"/>
      <c r="AP10" s="32"/>
      <c r="AQ10" s="32"/>
      <c r="AR10" s="33"/>
      <c r="AS10" s="32"/>
      <c r="AT10" s="32"/>
      <c r="AU10" s="179"/>
      <c r="AV10" s="32"/>
      <c r="AW10" s="32"/>
      <c r="AX10" s="179"/>
      <c r="AY10" s="32"/>
      <c r="AZ10" s="32"/>
      <c r="BA10" s="179"/>
      <c r="BB10" s="32"/>
      <c r="BC10" s="32"/>
      <c r="BD10" s="179"/>
      <c r="BE10" s="32"/>
      <c r="BF10" s="32"/>
      <c r="BG10" s="179"/>
      <c r="BH10" s="32"/>
      <c r="BI10" s="32"/>
      <c r="BJ10" s="179"/>
      <c r="BK10" s="32"/>
      <c r="BL10" s="32"/>
      <c r="BM10" s="179"/>
      <c r="BN10" s="32"/>
      <c r="BO10" s="32"/>
      <c r="BP10" s="33"/>
      <c r="BQ10" s="32"/>
      <c r="BR10" s="32"/>
      <c r="BS10" s="179"/>
      <c r="BT10" s="182"/>
      <c r="BU10" s="129"/>
      <c r="BV10" s="179"/>
      <c r="BW10" s="32"/>
      <c r="BX10" s="32"/>
    </row>
    <row r="11" spans="1:76" ht="137.25" customHeight="1" thickBot="1" x14ac:dyDescent="0.25">
      <c r="A11" s="561" t="s">
        <v>479</v>
      </c>
      <c r="B11" s="562"/>
      <c r="C11" s="562"/>
      <c r="D11" s="562"/>
      <c r="E11" s="562"/>
      <c r="F11" s="562"/>
      <c r="G11" s="562"/>
      <c r="H11" s="562"/>
      <c r="I11" s="562"/>
      <c r="J11" s="562"/>
      <c r="K11" s="562"/>
      <c r="L11" s="562"/>
      <c r="M11" s="562"/>
      <c r="N11" s="562"/>
      <c r="O11" s="562"/>
      <c r="P11" s="562"/>
      <c r="Q11" s="562"/>
      <c r="R11" s="562"/>
      <c r="S11" s="562"/>
      <c r="T11" s="562"/>
      <c r="U11" s="330" t="s">
        <v>515</v>
      </c>
      <c r="V11" s="32"/>
      <c r="W11" s="179"/>
      <c r="X11" s="32"/>
      <c r="Y11" s="32"/>
      <c r="Z11" s="179"/>
      <c r="AA11" s="32"/>
      <c r="AB11" s="32"/>
      <c r="AC11" s="33"/>
      <c r="AD11" s="32"/>
      <c r="AE11" s="32"/>
      <c r="AF11" s="179"/>
      <c r="AG11" s="32"/>
      <c r="AH11" s="32"/>
      <c r="AI11" s="33"/>
      <c r="AJ11" s="129"/>
      <c r="AK11" s="129"/>
      <c r="AL11" s="179"/>
      <c r="AM11" s="32"/>
      <c r="AN11" s="32"/>
      <c r="AO11" s="179"/>
      <c r="AP11" s="32"/>
      <c r="AQ11" s="32"/>
      <c r="AR11" s="179"/>
      <c r="AS11" s="32"/>
      <c r="AT11" s="32"/>
      <c r="AU11" s="179"/>
      <c r="AV11" s="32"/>
      <c r="AW11" s="32"/>
      <c r="AX11" s="179"/>
      <c r="AY11" s="32"/>
      <c r="AZ11" s="32"/>
      <c r="BA11" s="179"/>
      <c r="BB11" s="32"/>
      <c r="BC11" s="32"/>
      <c r="BD11" s="179"/>
      <c r="BE11" s="187"/>
      <c r="BF11" s="32"/>
      <c r="BG11" s="179"/>
      <c r="BH11" s="182"/>
      <c r="BI11" s="129"/>
      <c r="BJ11" s="179"/>
      <c r="BK11" s="32"/>
      <c r="BL11" s="32"/>
      <c r="BM11" s="179"/>
      <c r="BN11" s="32"/>
      <c r="BO11" s="32"/>
      <c r="BP11" s="33"/>
      <c r="BQ11" s="129"/>
      <c r="BR11" s="129"/>
      <c r="BS11" s="33"/>
      <c r="BT11" s="32"/>
      <c r="BU11" s="32"/>
      <c r="BV11" s="33"/>
      <c r="BW11" s="32"/>
      <c r="BX11" s="32"/>
    </row>
    <row r="12" spans="1:76" ht="18" customHeight="1" thickBot="1" x14ac:dyDescent="0.25">
      <c r="A12" s="193"/>
      <c r="B12" s="193"/>
      <c r="C12" s="193"/>
      <c r="D12" s="193"/>
      <c r="E12" s="193"/>
      <c r="F12" s="193"/>
      <c r="G12" s="193"/>
      <c r="H12" s="193"/>
      <c r="I12" s="193"/>
      <c r="J12" s="32"/>
      <c r="K12" s="179"/>
      <c r="L12" s="32"/>
      <c r="M12" s="32"/>
      <c r="N12" s="179"/>
      <c r="O12" s="32"/>
      <c r="P12" s="32"/>
      <c r="Q12" s="181"/>
      <c r="R12" s="32"/>
      <c r="S12" s="32"/>
      <c r="T12" s="181"/>
      <c r="U12" s="325"/>
      <c r="V12" s="182"/>
      <c r="W12" s="33"/>
      <c r="X12" s="32"/>
      <c r="Y12" s="32"/>
      <c r="Z12" s="179"/>
      <c r="AA12" s="32"/>
      <c r="AB12" s="32"/>
      <c r="AC12" s="179"/>
      <c r="AD12" s="32"/>
      <c r="AE12" s="32"/>
      <c r="AF12" s="33"/>
      <c r="AG12" s="32"/>
      <c r="AH12" s="32"/>
      <c r="AI12" s="179"/>
      <c r="AJ12" s="32"/>
      <c r="AK12" s="32"/>
      <c r="AL12" s="179"/>
      <c r="AM12" s="32"/>
      <c r="AN12" s="32"/>
      <c r="AO12" s="179"/>
      <c r="AP12" s="182"/>
      <c r="AQ12" s="129"/>
      <c r="AR12" s="179"/>
      <c r="AS12" s="32"/>
      <c r="AT12" s="32"/>
      <c r="AU12" s="179"/>
      <c r="AV12" s="32"/>
      <c r="AW12" s="32"/>
      <c r="AX12" s="179"/>
      <c r="AY12" s="32"/>
      <c r="AZ12" s="32"/>
      <c r="BA12" s="179"/>
      <c r="BB12" s="32"/>
      <c r="BC12" s="32"/>
      <c r="BD12" s="179"/>
      <c r="BE12" s="182"/>
      <c r="BF12" s="129"/>
      <c r="BG12" s="179"/>
      <c r="BH12" s="32"/>
      <c r="BI12" s="32"/>
      <c r="BJ12" s="179"/>
      <c r="BK12" s="32"/>
      <c r="BL12" s="32"/>
      <c r="BM12" s="179"/>
      <c r="BN12" s="129"/>
      <c r="BO12" s="182"/>
      <c r="BP12" s="179"/>
      <c r="BQ12" s="188"/>
      <c r="BR12" s="129"/>
      <c r="BS12" s="33"/>
      <c r="BT12" s="32"/>
      <c r="BU12" s="32"/>
      <c r="BV12" s="33"/>
      <c r="BW12" s="129"/>
      <c r="BX12" s="129"/>
    </row>
    <row r="13" spans="1:76" s="8" customFormat="1" ht="137.25" customHeight="1" thickBot="1" x14ac:dyDescent="0.25">
      <c r="A13" s="561" t="s">
        <v>480</v>
      </c>
      <c r="B13" s="562"/>
      <c r="C13" s="562"/>
      <c r="D13" s="562"/>
      <c r="E13" s="562"/>
      <c r="F13" s="562"/>
      <c r="G13" s="562"/>
      <c r="H13" s="562"/>
      <c r="I13" s="562"/>
      <c r="J13" s="562"/>
      <c r="K13" s="562"/>
      <c r="L13" s="562"/>
      <c r="M13" s="562"/>
      <c r="N13" s="562"/>
      <c r="O13" s="562"/>
      <c r="P13" s="562"/>
      <c r="Q13" s="562"/>
      <c r="R13" s="562"/>
      <c r="S13" s="562"/>
      <c r="T13" s="563"/>
      <c r="U13" s="330" t="s">
        <v>516</v>
      </c>
      <c r="V13" s="32"/>
      <c r="W13" s="33"/>
      <c r="X13" s="32"/>
      <c r="Y13" s="32"/>
      <c r="Z13" s="179"/>
      <c r="AA13" s="32"/>
      <c r="AB13" s="32"/>
      <c r="AC13" s="179"/>
      <c r="AD13" s="32"/>
      <c r="AE13" s="32"/>
      <c r="AF13" s="179"/>
      <c r="AG13" s="32"/>
      <c r="AH13" s="32"/>
      <c r="AI13" s="179"/>
      <c r="AJ13" s="32"/>
      <c r="AK13" s="32"/>
      <c r="AL13" s="33"/>
      <c r="AM13" s="129"/>
      <c r="AN13" s="129"/>
      <c r="AO13" s="179"/>
      <c r="AP13" s="32"/>
      <c r="AQ13" s="32"/>
      <c r="AR13" s="179"/>
      <c r="AS13" s="32"/>
      <c r="AT13" s="32"/>
      <c r="AU13" s="179"/>
      <c r="AV13" s="32"/>
      <c r="AW13" s="32"/>
      <c r="AX13" s="179"/>
      <c r="AY13" s="32"/>
      <c r="AZ13" s="32"/>
      <c r="BA13" s="179"/>
      <c r="BB13" s="32"/>
      <c r="BC13" s="32"/>
      <c r="BD13" s="179"/>
      <c r="BE13" s="32"/>
      <c r="BF13" s="32"/>
      <c r="BG13" s="179"/>
      <c r="BH13" s="32"/>
      <c r="BI13" s="32"/>
      <c r="BJ13" s="179"/>
      <c r="BK13" s="32"/>
      <c r="BL13" s="32"/>
      <c r="BM13" s="179"/>
      <c r="BN13" s="32"/>
      <c r="BO13" s="32"/>
      <c r="BP13" s="33"/>
      <c r="BQ13" s="32"/>
      <c r="BR13" s="32"/>
      <c r="BS13" s="179"/>
      <c r="BT13" s="129"/>
      <c r="BU13" s="182"/>
      <c r="BV13" s="179"/>
      <c r="BW13" s="32"/>
      <c r="BX13" s="32"/>
    </row>
    <row r="14" spans="1:76" ht="19.5" customHeight="1" thickBot="1" x14ac:dyDescent="0.25">
      <c r="A14" s="193"/>
      <c r="B14" s="193"/>
      <c r="C14" s="193"/>
      <c r="D14" s="193"/>
      <c r="E14" s="193"/>
      <c r="F14" s="193"/>
      <c r="G14" s="193"/>
      <c r="H14" s="193"/>
      <c r="I14" s="193"/>
      <c r="J14" s="129"/>
      <c r="K14" s="179"/>
      <c r="L14" s="32"/>
      <c r="M14" s="32"/>
      <c r="N14" s="186"/>
      <c r="O14" s="32"/>
      <c r="P14" s="32"/>
      <c r="Q14" s="181"/>
      <c r="R14" s="32"/>
      <c r="S14" s="32"/>
      <c r="T14" s="181"/>
      <c r="U14" s="32"/>
      <c r="V14" s="32"/>
      <c r="W14" s="179"/>
      <c r="X14" s="32"/>
      <c r="Y14" s="32"/>
      <c r="Z14" s="179"/>
      <c r="AA14" s="32"/>
      <c r="AB14" s="32"/>
      <c r="AC14" s="179"/>
      <c r="AD14" s="32"/>
      <c r="AE14" s="32"/>
      <c r="AF14" s="179"/>
      <c r="AG14" s="32"/>
      <c r="AH14" s="32"/>
      <c r="AI14" s="33"/>
      <c r="AJ14" s="129"/>
      <c r="AK14" s="129"/>
      <c r="AL14" s="179"/>
      <c r="AM14" s="32"/>
      <c r="AN14" s="32"/>
      <c r="AO14" s="33"/>
      <c r="AP14" s="32"/>
      <c r="AQ14" s="32"/>
      <c r="AR14" s="179"/>
      <c r="AS14" s="32"/>
      <c r="AT14" s="32"/>
      <c r="AU14" s="179"/>
      <c r="AV14" s="32"/>
      <c r="AW14" s="32"/>
      <c r="AX14" s="179"/>
      <c r="AY14" s="32"/>
      <c r="AZ14" s="32"/>
      <c r="BA14" s="179"/>
      <c r="BB14" s="129"/>
      <c r="BC14" s="190"/>
      <c r="BD14" s="33"/>
      <c r="BE14" s="32"/>
      <c r="BF14" s="32"/>
      <c r="BG14" s="179"/>
      <c r="BH14" s="32"/>
      <c r="BI14" s="32"/>
      <c r="BJ14" s="179"/>
      <c r="BK14" s="32"/>
      <c r="BL14" s="32"/>
      <c r="BM14" s="179"/>
      <c r="BN14" s="32"/>
      <c r="BO14" s="32"/>
      <c r="BP14" s="179"/>
      <c r="BQ14" s="32"/>
      <c r="BR14" s="32"/>
      <c r="BS14" s="33"/>
      <c r="BT14" s="32"/>
      <c r="BU14" s="32"/>
      <c r="BV14" s="33"/>
      <c r="BW14" s="32"/>
      <c r="BX14" s="32"/>
    </row>
    <row r="15" spans="1:76" s="8" customFormat="1" ht="148.5" customHeight="1" thickBot="1" x14ac:dyDescent="0.25">
      <c r="A15" s="561" t="s">
        <v>481</v>
      </c>
      <c r="B15" s="562"/>
      <c r="C15" s="562"/>
      <c r="D15" s="562"/>
      <c r="E15" s="562"/>
      <c r="F15" s="562"/>
      <c r="G15" s="562"/>
      <c r="H15" s="562"/>
      <c r="I15" s="562"/>
      <c r="J15" s="562"/>
      <c r="K15" s="562"/>
      <c r="L15" s="562"/>
      <c r="M15" s="562"/>
      <c r="N15" s="562"/>
      <c r="O15" s="562"/>
      <c r="P15" s="562"/>
      <c r="Q15" s="562"/>
      <c r="R15" s="562"/>
      <c r="S15" s="562"/>
      <c r="T15" s="562"/>
      <c r="U15" s="330" t="s">
        <v>517</v>
      </c>
      <c r="V15" s="32"/>
      <c r="W15" s="33"/>
      <c r="X15" s="32"/>
      <c r="Y15" s="32"/>
      <c r="Z15" s="179"/>
      <c r="AA15" s="32"/>
      <c r="AB15" s="32"/>
      <c r="AC15" s="179"/>
      <c r="AD15" s="32"/>
      <c r="AE15" s="32"/>
      <c r="AF15" s="33"/>
      <c r="AG15" s="32"/>
      <c r="AH15" s="32"/>
      <c r="AI15" s="179"/>
      <c r="AJ15" s="32"/>
      <c r="AK15" s="32"/>
      <c r="AL15" s="179"/>
      <c r="AM15" s="32"/>
      <c r="AN15" s="32"/>
      <c r="AO15" s="179"/>
      <c r="AP15" s="32"/>
      <c r="AQ15" s="32"/>
      <c r="AR15" s="179"/>
      <c r="AS15" s="182"/>
      <c r="AT15" s="129"/>
      <c r="AU15" s="33"/>
      <c r="AV15" s="32"/>
      <c r="AW15" s="32"/>
      <c r="AX15" s="179"/>
      <c r="AY15" s="32"/>
      <c r="AZ15" s="32"/>
      <c r="BA15" s="33"/>
      <c r="BB15" s="32"/>
      <c r="BC15" s="32"/>
      <c r="BD15" s="179"/>
      <c r="BE15" s="32"/>
      <c r="BF15" s="32"/>
      <c r="BG15" s="33"/>
      <c r="BH15" s="129"/>
      <c r="BI15" s="129"/>
      <c r="BJ15" s="179"/>
      <c r="BK15" s="186"/>
      <c r="BL15" s="32"/>
      <c r="BM15" s="179"/>
      <c r="BN15" s="187"/>
      <c r="BO15" s="32"/>
      <c r="BP15" s="179"/>
      <c r="BQ15" s="129"/>
      <c r="BR15" s="182"/>
      <c r="BS15" s="179"/>
      <c r="BT15" s="32"/>
      <c r="BU15" s="32"/>
      <c r="BV15" s="179"/>
      <c r="BW15" s="32"/>
      <c r="BX15" s="32"/>
    </row>
    <row r="16" spans="1:76" ht="39.75" customHeight="1" thickBot="1" x14ac:dyDescent="0.25">
      <c r="A16" s="193"/>
      <c r="B16" s="193"/>
      <c r="C16" s="193"/>
      <c r="D16" s="193"/>
      <c r="E16" s="193"/>
      <c r="F16" s="193"/>
      <c r="G16" s="193"/>
      <c r="H16" s="193"/>
      <c r="I16" s="193"/>
      <c r="J16" s="32"/>
      <c r="K16" s="179"/>
      <c r="L16" s="32"/>
      <c r="M16" s="32"/>
      <c r="N16" s="179"/>
      <c r="O16" s="32"/>
      <c r="P16" s="32"/>
      <c r="Q16" s="181"/>
      <c r="R16" s="32"/>
      <c r="S16" s="32"/>
      <c r="T16" s="181"/>
      <c r="U16" s="32"/>
      <c r="V16" s="32"/>
      <c r="W16" s="179"/>
      <c r="X16" s="32"/>
      <c r="Y16" s="32"/>
      <c r="Z16" s="33"/>
      <c r="AA16" s="32"/>
      <c r="AB16" s="32"/>
      <c r="AC16" s="179"/>
      <c r="AD16" s="32"/>
      <c r="AE16" s="32"/>
      <c r="AF16" s="33"/>
      <c r="AG16" s="32"/>
      <c r="AH16" s="129"/>
      <c r="AI16" s="179"/>
      <c r="AJ16" s="32"/>
      <c r="AK16" s="32"/>
      <c r="AL16" s="179"/>
      <c r="AM16" s="32"/>
      <c r="AN16" s="32"/>
      <c r="AO16" s="33"/>
      <c r="AP16" s="32"/>
      <c r="AQ16" s="32"/>
      <c r="AR16" s="179"/>
      <c r="AS16" s="32"/>
      <c r="AT16" s="32"/>
      <c r="AU16" s="66"/>
      <c r="AV16" s="66"/>
      <c r="AW16" s="66"/>
      <c r="AX16" s="179"/>
      <c r="AY16" s="32"/>
      <c r="AZ16" s="32"/>
      <c r="BA16" s="66"/>
      <c r="BB16" s="66"/>
      <c r="BC16" s="66"/>
      <c r="BD16" s="33"/>
      <c r="BE16" s="32"/>
      <c r="BF16" s="32"/>
      <c r="BG16" s="179"/>
      <c r="BH16" s="32"/>
      <c r="BI16" s="32"/>
      <c r="BJ16" s="179"/>
      <c r="BK16" s="32"/>
      <c r="BL16" s="32"/>
      <c r="BM16" s="179"/>
      <c r="BN16" s="32"/>
      <c r="BO16" s="32"/>
      <c r="BP16" s="179"/>
      <c r="BQ16" s="32"/>
      <c r="BR16" s="32"/>
      <c r="BS16" s="186"/>
      <c r="BT16" s="32"/>
      <c r="BU16" s="32"/>
      <c r="BV16" s="179"/>
      <c r="BW16" s="182"/>
      <c r="BX16" s="129"/>
    </row>
    <row r="17" spans="1:76" ht="163.5" customHeight="1" thickBot="1" x14ac:dyDescent="0.25">
      <c r="A17" s="561" t="s">
        <v>528</v>
      </c>
      <c r="B17" s="562"/>
      <c r="C17" s="562"/>
      <c r="D17" s="562"/>
      <c r="E17" s="562"/>
      <c r="F17" s="562"/>
      <c r="G17" s="562"/>
      <c r="H17" s="562"/>
      <c r="I17" s="562"/>
      <c r="J17" s="562"/>
      <c r="K17" s="562"/>
      <c r="L17" s="562"/>
      <c r="M17" s="562"/>
      <c r="N17" s="562"/>
      <c r="O17" s="562"/>
      <c r="P17" s="562"/>
      <c r="Q17" s="562"/>
      <c r="R17" s="562"/>
      <c r="S17" s="562"/>
      <c r="T17" s="562"/>
      <c r="U17" s="330" t="s">
        <v>518</v>
      </c>
      <c r="V17" s="32"/>
      <c r="W17" s="33"/>
      <c r="X17" s="32"/>
      <c r="Y17" s="32"/>
      <c r="Z17" s="33"/>
      <c r="AA17" s="32"/>
      <c r="AB17" s="32"/>
      <c r="AC17" s="179"/>
      <c r="AD17" s="188"/>
      <c r="AE17" s="129"/>
      <c r="AF17" s="179"/>
      <c r="AG17" s="32"/>
      <c r="AH17" s="32"/>
      <c r="AI17" s="179"/>
      <c r="AJ17" s="129"/>
      <c r="AK17" s="182"/>
      <c r="AL17" s="33"/>
      <c r="AM17" s="32"/>
      <c r="AN17" s="32"/>
      <c r="AO17" s="66"/>
      <c r="AP17" s="66"/>
      <c r="AQ17" s="66"/>
      <c r="AR17" s="179"/>
      <c r="AS17" s="32"/>
      <c r="AT17" s="32"/>
      <c r="AU17" s="66"/>
      <c r="AV17" s="66"/>
      <c r="AW17" s="66"/>
      <c r="AX17" s="33"/>
      <c r="AY17" s="129"/>
      <c r="AZ17" s="129"/>
      <c r="BA17" s="66"/>
      <c r="BB17" s="66"/>
      <c r="BC17" s="66"/>
      <c r="BD17" s="33"/>
      <c r="BE17" s="32"/>
      <c r="BF17" s="32"/>
      <c r="BG17" s="179"/>
      <c r="BH17" s="32"/>
      <c r="BI17" s="32"/>
      <c r="BJ17" s="179"/>
      <c r="BK17" s="32"/>
      <c r="BL17" s="32"/>
      <c r="BM17" s="179"/>
      <c r="BN17" s="188"/>
      <c r="BO17" s="129"/>
      <c r="BP17" s="179"/>
      <c r="BQ17" s="32"/>
      <c r="BR17" s="32"/>
      <c r="BS17" s="33"/>
      <c r="BT17" s="129"/>
      <c r="BU17" s="129"/>
      <c r="BV17" s="179"/>
      <c r="BW17" s="182"/>
      <c r="BX17" s="129"/>
    </row>
    <row r="18" spans="1:76" ht="23.25" customHeight="1" thickBot="1" x14ac:dyDescent="0.25">
      <c r="A18" s="193"/>
      <c r="B18" s="193"/>
      <c r="C18" s="193"/>
      <c r="D18" s="193"/>
      <c r="E18" s="193"/>
      <c r="F18" s="193"/>
      <c r="G18" s="193"/>
      <c r="H18" s="193"/>
      <c r="I18" s="193"/>
      <c r="J18" s="182"/>
      <c r="K18" s="33"/>
      <c r="L18" s="32"/>
      <c r="M18" s="32"/>
      <c r="N18" s="33"/>
      <c r="O18" s="32"/>
      <c r="P18" s="32"/>
      <c r="Q18" s="181"/>
      <c r="R18" s="129"/>
      <c r="S18" s="182"/>
      <c r="T18" s="181"/>
      <c r="U18" s="32"/>
      <c r="V18" s="32"/>
      <c r="W18" s="66"/>
      <c r="X18" s="66"/>
      <c r="Y18" s="66"/>
      <c r="Z18" s="66"/>
      <c r="AA18" s="66"/>
      <c r="AB18" s="66"/>
      <c r="AC18" s="179"/>
      <c r="AD18" s="182"/>
      <c r="AE18" s="129"/>
      <c r="AF18" s="179"/>
      <c r="AG18" s="32"/>
      <c r="AH18" s="32"/>
      <c r="AI18" s="33"/>
      <c r="AJ18" s="32"/>
      <c r="AK18" s="32"/>
      <c r="AL18" s="66"/>
      <c r="AM18" s="66"/>
      <c r="AN18" s="66"/>
      <c r="AO18" s="66"/>
      <c r="AP18" s="66"/>
      <c r="AQ18" s="66"/>
      <c r="AR18" s="33"/>
      <c r="AS18" s="32"/>
      <c r="AT18" s="32"/>
      <c r="AU18" s="66"/>
      <c r="AV18" s="66"/>
      <c r="AW18" s="66"/>
      <c r="AX18" s="33"/>
      <c r="AY18" s="32"/>
      <c r="AZ18" s="32"/>
      <c r="BA18" s="66"/>
      <c r="BB18" s="66"/>
      <c r="BC18" s="66"/>
      <c r="BD18" s="66"/>
      <c r="BE18" s="66"/>
      <c r="BF18" s="66"/>
      <c r="BG18" s="179"/>
      <c r="BH18" s="182"/>
      <c r="BI18" s="182"/>
      <c r="BJ18" s="179"/>
      <c r="BK18" s="32"/>
      <c r="BL18" s="32"/>
      <c r="BM18" s="66"/>
      <c r="BN18" s="66"/>
      <c r="BO18" s="66"/>
      <c r="BP18" s="33"/>
      <c r="BQ18" s="189"/>
      <c r="BR18" s="129"/>
      <c r="BS18" s="33"/>
      <c r="BT18" s="32"/>
      <c r="BU18" s="32"/>
      <c r="BV18" s="33"/>
      <c r="BW18" s="32"/>
      <c r="BX18" s="32"/>
    </row>
    <row r="19" spans="1:76" ht="126.75" customHeight="1" thickBot="1" x14ac:dyDescent="0.25">
      <c r="A19" s="564" t="s">
        <v>482</v>
      </c>
      <c r="B19" s="565"/>
      <c r="C19" s="565"/>
      <c r="D19" s="565"/>
      <c r="E19" s="565"/>
      <c r="F19" s="565"/>
      <c r="G19" s="565"/>
      <c r="H19" s="565"/>
      <c r="I19" s="565"/>
      <c r="J19" s="565"/>
      <c r="K19" s="565"/>
      <c r="L19" s="565"/>
      <c r="M19" s="565"/>
      <c r="N19" s="565"/>
      <c r="O19" s="565"/>
      <c r="P19" s="565"/>
      <c r="Q19" s="565"/>
      <c r="R19" s="565"/>
      <c r="S19" s="565"/>
      <c r="T19" s="565"/>
      <c r="U19" s="330" t="s">
        <v>521</v>
      </c>
      <c r="V19" s="32"/>
      <c r="W19" s="66"/>
      <c r="X19" s="66"/>
      <c r="Y19" s="66"/>
      <c r="Z19" s="66"/>
      <c r="AA19" s="66"/>
      <c r="AB19" s="66"/>
      <c r="AC19" s="66"/>
      <c r="AD19" s="66"/>
      <c r="AE19" s="66"/>
      <c r="AF19" s="179"/>
      <c r="AG19" s="182"/>
      <c r="AH19" s="129"/>
      <c r="AI19" s="179"/>
      <c r="AJ19" s="32"/>
      <c r="AK19" s="32"/>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179"/>
      <c r="BK19" s="182"/>
      <c r="BL19" s="129"/>
      <c r="BM19" s="66"/>
      <c r="BN19" s="66"/>
      <c r="BO19" s="66"/>
      <c r="BP19" s="33"/>
      <c r="BQ19" s="32"/>
      <c r="BR19" s="32"/>
      <c r="BS19" s="66"/>
      <c r="BT19" s="66"/>
      <c r="BU19" s="66"/>
      <c r="BV19" s="66"/>
      <c r="BW19" s="66"/>
      <c r="BX19" s="66"/>
    </row>
    <row r="20" spans="1:76" ht="21.75" customHeight="1" thickBot="1" x14ac:dyDescent="0.25">
      <c r="A20" s="193"/>
      <c r="B20" s="193"/>
      <c r="C20" s="193"/>
      <c r="D20" s="193"/>
      <c r="E20" s="193"/>
      <c r="F20" s="193"/>
      <c r="G20" s="193"/>
      <c r="H20" s="193"/>
      <c r="I20" s="193"/>
      <c r="J20" s="66"/>
      <c r="K20" s="66"/>
      <c r="L20" s="66"/>
      <c r="M20" s="66"/>
      <c r="N20" s="179"/>
      <c r="O20" s="32"/>
      <c r="P20" s="32"/>
      <c r="Q20" s="66"/>
      <c r="R20" s="66"/>
      <c r="S20" s="66"/>
      <c r="T20" s="66"/>
      <c r="U20" s="66"/>
      <c r="V20" s="66"/>
      <c r="W20" s="66"/>
      <c r="X20" s="66"/>
      <c r="Y20" s="66"/>
      <c r="Z20" s="66"/>
      <c r="AA20" s="66"/>
      <c r="AB20" s="66"/>
      <c r="AC20" s="66"/>
      <c r="AD20" s="66"/>
      <c r="AE20" s="66"/>
      <c r="AF20" s="33"/>
      <c r="AG20" s="32"/>
      <c r="AH20" s="32"/>
      <c r="AI20" s="179"/>
      <c r="AJ20" s="32"/>
      <c r="AK20" s="32"/>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33"/>
      <c r="BQ20" s="32"/>
      <c r="BR20" s="32"/>
      <c r="BS20" s="66"/>
      <c r="BT20" s="66"/>
      <c r="BU20" s="66"/>
      <c r="BV20" s="66"/>
      <c r="BW20" s="66"/>
      <c r="BX20" s="66"/>
    </row>
    <row r="21" spans="1:76" ht="97.5" customHeight="1" thickBot="1" x14ac:dyDescent="0.25">
      <c r="A21" s="561" t="s">
        <v>483</v>
      </c>
      <c r="B21" s="562"/>
      <c r="C21" s="562"/>
      <c r="D21" s="562"/>
      <c r="E21" s="562"/>
      <c r="F21" s="562"/>
      <c r="G21" s="562"/>
      <c r="H21" s="562"/>
      <c r="I21" s="562"/>
      <c r="J21" s="562"/>
      <c r="K21" s="562"/>
      <c r="L21" s="562"/>
      <c r="M21" s="562"/>
      <c r="N21" s="562"/>
      <c r="O21" s="562"/>
      <c r="P21" s="562"/>
      <c r="Q21" s="562"/>
      <c r="R21" s="562"/>
      <c r="S21" s="562"/>
      <c r="T21" s="562"/>
      <c r="U21" s="330" t="s">
        <v>519</v>
      </c>
      <c r="V21" s="66"/>
      <c r="W21" s="66"/>
      <c r="X21" s="66"/>
      <c r="Y21" s="66"/>
      <c r="Z21" s="66"/>
      <c r="AA21" s="66"/>
      <c r="AB21" s="66"/>
      <c r="AC21" s="66"/>
      <c r="AD21" s="66"/>
      <c r="AE21" s="66"/>
      <c r="AF21" s="66"/>
      <c r="AG21" s="66"/>
      <c r="AH21" s="66"/>
      <c r="AI21" s="179"/>
      <c r="AJ21" s="32"/>
      <c r="AK21" s="32"/>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row>
    <row r="22" spans="1:76" ht="27" customHeight="1" thickBot="1" x14ac:dyDescent="0.25">
      <c r="A22" s="193"/>
      <c r="B22" s="193"/>
      <c r="C22" s="193"/>
      <c r="D22" s="193"/>
      <c r="E22" s="193"/>
      <c r="F22" s="193"/>
      <c r="G22" s="193"/>
      <c r="H22" s="193"/>
      <c r="I22" s="193"/>
      <c r="J22" s="66"/>
      <c r="K22" s="66"/>
      <c r="L22" s="66"/>
      <c r="M22" s="66"/>
      <c r="N22" s="179"/>
      <c r="O22" s="32"/>
      <c r="P22" s="32"/>
      <c r="Q22" s="66"/>
      <c r="R22" s="66"/>
      <c r="S22" s="66"/>
      <c r="T22" s="66"/>
      <c r="U22" s="66"/>
      <c r="V22" s="66"/>
      <c r="W22" s="66"/>
      <c r="X22" s="66"/>
      <c r="Y22" s="66"/>
      <c r="Z22" s="66"/>
      <c r="AA22" s="66"/>
      <c r="AB22" s="66"/>
      <c r="AC22" s="66"/>
      <c r="AD22" s="66"/>
      <c r="AE22" s="66"/>
      <c r="AF22" s="66"/>
      <c r="AG22" s="66"/>
      <c r="AH22" s="66"/>
      <c r="AI22" s="33"/>
      <c r="AJ22" s="32"/>
      <c r="AK22" s="32"/>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row>
    <row r="23" spans="1:76" ht="96" customHeight="1" thickBot="1" x14ac:dyDescent="0.25">
      <c r="A23" s="561" t="s">
        <v>484</v>
      </c>
      <c r="B23" s="562"/>
      <c r="C23" s="562"/>
      <c r="D23" s="562"/>
      <c r="E23" s="562"/>
      <c r="F23" s="562"/>
      <c r="G23" s="562"/>
      <c r="H23" s="562"/>
      <c r="I23" s="562"/>
      <c r="J23" s="562"/>
      <c r="K23" s="562"/>
      <c r="L23" s="562"/>
      <c r="M23" s="562"/>
      <c r="N23" s="562"/>
      <c r="O23" s="562"/>
      <c r="P23" s="562"/>
      <c r="Q23" s="562"/>
      <c r="R23" s="562"/>
      <c r="S23" s="562"/>
      <c r="T23" s="562"/>
      <c r="U23" s="330" t="s">
        <v>520</v>
      </c>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row>
    <row r="24" spans="1:76" ht="20.25" customHeight="1" thickBot="1" x14ac:dyDescent="0.25">
      <c r="A24" s="193"/>
      <c r="B24" s="193"/>
      <c r="C24" s="193"/>
      <c r="D24" s="193"/>
      <c r="E24" s="193"/>
      <c r="F24" s="193"/>
      <c r="G24" s="193"/>
      <c r="H24" s="193"/>
      <c r="I24" s="193"/>
      <c r="J24" s="66"/>
      <c r="K24" s="66"/>
      <c r="L24" s="66"/>
      <c r="M24" s="66"/>
      <c r="N24" s="33"/>
      <c r="O24" s="32"/>
      <c r="P24" s="32"/>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row>
    <row r="25" spans="1:76" ht="75.75" customHeight="1" thickBot="1" x14ac:dyDescent="0.25">
      <c r="A25" s="561" t="s">
        <v>485</v>
      </c>
      <c r="B25" s="562"/>
      <c r="C25" s="562"/>
      <c r="D25" s="562"/>
      <c r="E25" s="562"/>
      <c r="F25" s="562"/>
      <c r="G25" s="562"/>
      <c r="H25" s="562"/>
      <c r="I25" s="562"/>
      <c r="J25" s="562"/>
      <c r="K25" s="562"/>
      <c r="L25" s="562"/>
      <c r="M25" s="562"/>
      <c r="N25" s="562"/>
      <c r="O25" s="562"/>
      <c r="P25" s="562"/>
      <c r="Q25" s="562"/>
      <c r="R25" s="562"/>
      <c r="S25" s="562"/>
      <c r="T25" s="562"/>
      <c r="U25" s="337"/>
      <c r="V25" s="17"/>
      <c r="W25" s="17"/>
      <c r="X25" s="17"/>
      <c r="Y25" s="17"/>
      <c r="Z25" s="17"/>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row>
    <row r="26" spans="1:76" ht="11.25" customHeight="1" thickBot="1" x14ac:dyDescent="0.25">
      <c r="A26" s="193"/>
      <c r="B26" s="193"/>
      <c r="C26" s="193"/>
      <c r="D26" s="193"/>
      <c r="E26" s="193"/>
      <c r="F26" s="193"/>
      <c r="G26" s="193"/>
      <c r="H26" s="193"/>
      <c r="I26" s="193"/>
      <c r="J26" s="129"/>
      <c r="K26" s="182"/>
      <c r="L26" s="32"/>
      <c r="M26" s="129"/>
      <c r="N26" s="32"/>
      <c r="O26" s="32"/>
      <c r="P26" s="182"/>
      <c r="Q26" s="32"/>
      <c r="R26" s="32"/>
      <c r="S26" s="32"/>
      <c r="T26" s="183"/>
      <c r="U26" s="32"/>
      <c r="V26" s="32"/>
      <c r="W26" s="32"/>
      <c r="X26" s="32"/>
      <c r="Y26" s="32"/>
      <c r="Z26" s="32"/>
      <c r="AA26" s="66"/>
      <c r="AB26" s="66"/>
      <c r="AC26" s="66"/>
      <c r="AD26" s="182"/>
      <c r="AE26" s="66"/>
      <c r="AF26" s="66"/>
      <c r="AG26" s="32"/>
      <c r="AH26" s="66"/>
      <c r="AI26" s="66"/>
      <c r="AJ26" s="129"/>
      <c r="AK26" s="66"/>
      <c r="AL26" s="66"/>
      <c r="AM26" s="32"/>
      <c r="AN26" s="66"/>
      <c r="AO26" s="66"/>
      <c r="AP26" s="32"/>
      <c r="AQ26" s="66"/>
      <c r="AR26" s="66"/>
      <c r="AS26" s="182"/>
      <c r="AT26" s="66"/>
      <c r="AU26" s="66"/>
      <c r="AV26" s="32"/>
      <c r="AW26" s="66"/>
      <c r="AX26" s="66"/>
      <c r="AY26" s="191"/>
      <c r="AZ26" s="66"/>
      <c r="BA26" s="66"/>
      <c r="BB26" s="32"/>
      <c r="BC26" s="66"/>
      <c r="BD26" s="66"/>
      <c r="BE26" s="183"/>
      <c r="BF26" s="66"/>
      <c r="BG26" s="66"/>
      <c r="BH26" s="32"/>
      <c r="BI26" s="66"/>
      <c r="BJ26" s="66"/>
      <c r="BK26" s="32"/>
      <c r="BL26" s="66"/>
      <c r="BM26" s="66"/>
      <c r="BN26" s="32"/>
      <c r="BO26" s="66"/>
      <c r="BP26" s="66"/>
      <c r="BQ26" s="32"/>
      <c r="BR26" s="66"/>
      <c r="BS26" s="66"/>
      <c r="BT26" s="32"/>
      <c r="BU26" s="66"/>
      <c r="BV26" s="66"/>
      <c r="BW26" s="32"/>
      <c r="BX26" s="66"/>
    </row>
    <row r="27" spans="1:76" ht="204.75" customHeight="1" thickBot="1" x14ac:dyDescent="0.25">
      <c r="A27" s="561" t="s">
        <v>486</v>
      </c>
      <c r="B27" s="562"/>
      <c r="C27" s="562"/>
      <c r="D27" s="562"/>
      <c r="E27" s="562"/>
      <c r="F27" s="562"/>
      <c r="G27" s="562"/>
      <c r="H27" s="562"/>
      <c r="I27" s="562"/>
      <c r="J27" s="562"/>
      <c r="K27" s="562"/>
      <c r="L27" s="562"/>
      <c r="M27" s="562"/>
      <c r="N27" s="562"/>
      <c r="O27" s="562"/>
      <c r="P27" s="562"/>
      <c r="Q27" s="562"/>
      <c r="R27" s="562"/>
      <c r="S27" s="562"/>
      <c r="T27" s="563"/>
      <c r="U27" s="186"/>
      <c r="V27" s="32"/>
      <c r="W27" s="32"/>
      <c r="X27" s="32"/>
      <c r="Y27" s="32"/>
      <c r="Z27" s="32"/>
      <c r="AA27" s="66"/>
      <c r="AB27" s="66"/>
      <c r="AC27" s="66"/>
      <c r="AD27" s="32"/>
      <c r="AE27" s="66"/>
      <c r="AF27" s="66"/>
      <c r="AG27" s="129"/>
      <c r="AH27" s="66"/>
      <c r="AI27" s="66"/>
      <c r="AJ27" s="129"/>
      <c r="AK27" s="66"/>
      <c r="AL27" s="66"/>
      <c r="AM27" s="32"/>
      <c r="AN27" s="66"/>
      <c r="AO27" s="66"/>
      <c r="AP27" s="182"/>
      <c r="AQ27" s="66"/>
      <c r="AR27" s="66"/>
      <c r="AS27" s="32"/>
      <c r="AT27" s="66"/>
      <c r="AU27" s="66"/>
      <c r="AV27" s="32"/>
      <c r="AW27" s="66"/>
      <c r="AX27" s="66"/>
      <c r="AY27" s="129"/>
      <c r="AZ27" s="66"/>
      <c r="BA27" s="66"/>
      <c r="BB27" s="32"/>
      <c r="BC27" s="66"/>
      <c r="BD27" s="66"/>
      <c r="BE27" s="187"/>
      <c r="BF27" s="66"/>
      <c r="BG27" s="66"/>
      <c r="BH27" s="32"/>
      <c r="BI27" s="66"/>
      <c r="BJ27" s="66"/>
      <c r="BK27" s="32"/>
      <c r="BL27" s="66"/>
      <c r="BM27" s="66"/>
      <c r="BN27" s="32"/>
      <c r="BO27" s="66"/>
      <c r="BP27" s="66"/>
      <c r="BQ27" s="32"/>
      <c r="BR27" s="66"/>
      <c r="BS27" s="66"/>
      <c r="BT27" s="32"/>
      <c r="BU27" s="66"/>
      <c r="BV27" s="66"/>
      <c r="BW27" s="32"/>
      <c r="BX27" s="66"/>
    </row>
    <row r="28" spans="1:76" ht="16.5" customHeight="1" x14ac:dyDescent="0.2">
      <c r="A28" s="193"/>
      <c r="B28" s="193"/>
      <c r="C28" s="193"/>
      <c r="D28" s="193"/>
      <c r="E28" s="193"/>
      <c r="F28" s="193"/>
      <c r="G28" s="193"/>
      <c r="H28" s="193"/>
      <c r="I28" s="193"/>
      <c r="J28" s="129"/>
      <c r="K28" s="32"/>
      <c r="L28" s="32"/>
      <c r="M28" s="32"/>
      <c r="N28" s="32"/>
      <c r="O28" s="32"/>
      <c r="P28" s="32"/>
      <c r="Q28" s="32"/>
      <c r="R28" s="32"/>
      <c r="S28" s="32"/>
      <c r="T28" s="32"/>
      <c r="U28" s="32"/>
      <c r="V28" s="182"/>
      <c r="W28" s="32"/>
      <c r="X28" s="192"/>
      <c r="Y28" s="182"/>
      <c r="Z28" s="32"/>
      <c r="AA28" s="66"/>
      <c r="AB28" s="66"/>
      <c r="AC28" s="66"/>
      <c r="AD28" s="32"/>
      <c r="AE28" s="66"/>
      <c r="AF28" s="66"/>
      <c r="AG28" s="32"/>
      <c r="AH28" s="66"/>
      <c r="AI28" s="66"/>
      <c r="AJ28" s="32"/>
      <c r="AK28" s="66"/>
      <c r="AL28" s="66"/>
      <c r="AM28" s="32"/>
      <c r="AN28" s="66"/>
      <c r="AO28" s="66"/>
      <c r="AP28" s="32"/>
      <c r="AQ28" s="66"/>
      <c r="AR28" s="66"/>
      <c r="AS28" s="32"/>
      <c r="AT28" s="66"/>
      <c r="AU28" s="66"/>
      <c r="AV28" s="32"/>
      <c r="AW28" s="66"/>
      <c r="AX28" s="66"/>
      <c r="AY28" s="32"/>
      <c r="AZ28" s="66"/>
      <c r="BA28" s="66"/>
      <c r="BB28" s="32"/>
      <c r="BC28" s="66"/>
      <c r="BD28" s="66"/>
      <c r="BE28" s="32"/>
      <c r="BF28" s="66"/>
      <c r="BG28" s="66"/>
      <c r="BH28" s="32"/>
      <c r="BI28" s="66"/>
      <c r="BJ28" s="66"/>
      <c r="BK28" s="182"/>
      <c r="BL28" s="66"/>
      <c r="BM28" s="66"/>
      <c r="BN28" s="32"/>
      <c r="BO28" s="66"/>
      <c r="BP28" s="66"/>
      <c r="BQ28" s="188"/>
      <c r="BR28" s="66"/>
      <c r="BS28" s="66"/>
      <c r="BT28" s="182"/>
      <c r="BU28" s="66"/>
      <c r="BV28" s="66"/>
      <c r="BW28" s="32"/>
      <c r="BX28" s="66"/>
    </row>
    <row r="29" spans="1:76" ht="24.75" customHeight="1" x14ac:dyDescent="0.2">
      <c r="A29" s="193"/>
      <c r="B29" s="193"/>
      <c r="C29" s="193"/>
      <c r="D29" s="193"/>
      <c r="E29" s="193"/>
      <c r="F29" s="193"/>
      <c r="G29" s="193"/>
      <c r="H29" s="193"/>
      <c r="I29" s="193"/>
      <c r="J29" s="129"/>
      <c r="K29" s="32"/>
      <c r="L29" s="183"/>
      <c r="M29" s="32"/>
      <c r="N29" s="32"/>
      <c r="O29" s="32"/>
      <c r="P29" s="182"/>
      <c r="Q29" s="32"/>
      <c r="R29" s="32"/>
      <c r="S29" s="32"/>
      <c r="T29" s="66"/>
      <c r="U29" s="32"/>
      <c r="V29" s="32"/>
      <c r="W29" s="32"/>
      <c r="X29" s="32"/>
      <c r="Y29" s="129"/>
      <c r="Z29" s="182"/>
      <c r="AA29" s="66"/>
      <c r="AB29" s="66"/>
      <c r="AC29" s="66"/>
      <c r="AD29" s="32"/>
      <c r="AE29" s="66"/>
      <c r="AF29" s="66"/>
      <c r="AG29" s="32"/>
      <c r="AH29" s="66"/>
      <c r="AI29" s="66"/>
      <c r="AJ29" s="32"/>
      <c r="AK29" s="66"/>
      <c r="AL29" s="66"/>
      <c r="AM29" s="32"/>
      <c r="AN29" s="66"/>
      <c r="AO29" s="66"/>
      <c r="AP29" s="32"/>
      <c r="AQ29" s="66"/>
      <c r="AR29" s="66"/>
      <c r="AS29" s="182"/>
      <c r="AT29" s="66"/>
      <c r="AU29" s="66"/>
      <c r="AV29" s="32"/>
      <c r="AW29" s="66"/>
      <c r="AX29" s="66"/>
      <c r="AY29" s="32"/>
      <c r="AZ29" s="66"/>
      <c r="BA29" s="66"/>
      <c r="BB29" s="32"/>
      <c r="BC29" s="66"/>
      <c r="BD29" s="66"/>
      <c r="BE29" s="66"/>
      <c r="BF29" s="66"/>
      <c r="BG29" s="66"/>
      <c r="BH29" s="32"/>
      <c r="BI29" s="66"/>
      <c r="BJ29" s="66"/>
      <c r="BK29" s="32"/>
      <c r="BL29" s="66"/>
      <c r="BM29" s="66"/>
      <c r="BN29" s="32"/>
      <c r="BO29" s="66"/>
      <c r="BP29" s="66"/>
      <c r="BQ29" s="32"/>
      <c r="BR29" s="66"/>
      <c r="BS29" s="66"/>
      <c r="BT29" s="129"/>
      <c r="BU29" s="66"/>
      <c r="BV29" s="66"/>
      <c r="BW29" s="182"/>
      <c r="BX29" s="66"/>
    </row>
    <row r="30" spans="1:76" ht="12.75" customHeight="1" x14ac:dyDescent="0.2">
      <c r="A30" s="193"/>
      <c r="B30" s="193"/>
      <c r="C30" s="193"/>
      <c r="D30" s="193"/>
      <c r="E30" s="193"/>
      <c r="F30" s="193"/>
      <c r="G30" s="193"/>
      <c r="H30" s="193"/>
      <c r="I30" s="193"/>
      <c r="J30" s="32"/>
      <c r="K30" s="32"/>
      <c r="L30" s="182"/>
      <c r="M30" s="129"/>
      <c r="N30" s="32"/>
      <c r="O30" s="178"/>
      <c r="P30" s="183"/>
      <c r="Q30" s="32"/>
      <c r="R30" s="129"/>
      <c r="S30" s="32"/>
      <c r="T30" s="66"/>
      <c r="U30" s="32"/>
      <c r="V30" s="32"/>
      <c r="W30" s="187"/>
      <c r="X30" s="32"/>
      <c r="Y30" s="32"/>
      <c r="Z30" s="182"/>
      <c r="AA30" s="66"/>
      <c r="AB30" s="66"/>
      <c r="AC30" s="66"/>
      <c r="AD30" s="32"/>
      <c r="AE30" s="66"/>
      <c r="AF30" s="66"/>
      <c r="AG30" s="182"/>
      <c r="AH30" s="66"/>
      <c r="AI30" s="66"/>
      <c r="AJ30" s="129"/>
      <c r="AK30" s="66"/>
      <c r="AL30" s="66"/>
      <c r="AM30" s="32"/>
      <c r="AN30" s="66"/>
      <c r="AO30" s="66"/>
      <c r="AP30" s="182"/>
      <c r="AQ30" s="66"/>
      <c r="AR30" s="66"/>
      <c r="AS30" s="32"/>
      <c r="AT30" s="66"/>
      <c r="AU30" s="66"/>
      <c r="AV30" s="32"/>
      <c r="AW30" s="66"/>
      <c r="AX30" s="66"/>
      <c r="AY30" s="129"/>
      <c r="AZ30" s="66"/>
      <c r="BA30" s="66"/>
      <c r="BB30" s="32"/>
      <c r="BC30" s="66"/>
      <c r="BD30" s="66"/>
      <c r="BE30" s="66"/>
      <c r="BF30" s="66"/>
      <c r="BG30" s="66"/>
      <c r="BH30" s="32"/>
      <c r="BI30" s="66"/>
      <c r="BJ30" s="66"/>
      <c r="BK30" s="32"/>
      <c r="BL30" s="66"/>
      <c r="BM30" s="66"/>
      <c r="BN30" s="187"/>
      <c r="BO30" s="66"/>
      <c r="BP30" s="66"/>
      <c r="BQ30" s="32"/>
      <c r="BR30" s="66"/>
      <c r="BS30" s="66"/>
      <c r="BT30" s="32"/>
      <c r="BU30" s="66"/>
      <c r="BV30" s="66"/>
      <c r="BW30" s="182"/>
      <c r="BX30" s="66"/>
    </row>
    <row r="31" spans="1:76" ht="18.75" x14ac:dyDescent="0.3">
      <c r="A31" s="196"/>
      <c r="B31" s="195"/>
      <c r="C31" s="195"/>
      <c r="D31" s="195"/>
      <c r="E31" s="195"/>
      <c r="F31" s="195"/>
      <c r="G31" s="195"/>
      <c r="H31" s="195"/>
      <c r="I31" s="195"/>
      <c r="J31" s="195"/>
      <c r="K31" s="32"/>
      <c r="L31" s="129"/>
      <c r="M31" s="129"/>
      <c r="N31" s="32"/>
      <c r="O31" s="183"/>
      <c r="P31" s="66"/>
      <c r="Q31" s="66"/>
      <c r="R31" s="32"/>
      <c r="S31" s="32"/>
      <c r="T31" s="66"/>
      <c r="U31" s="129"/>
      <c r="V31" s="186"/>
      <c r="W31" s="188"/>
      <c r="X31" s="189"/>
      <c r="Y31" s="182"/>
      <c r="Z31" s="185"/>
      <c r="AA31" s="66"/>
      <c r="AB31" s="66"/>
      <c r="AC31" s="66"/>
      <c r="AD31" s="32"/>
      <c r="AE31" s="66"/>
      <c r="AF31" s="66"/>
      <c r="AG31" s="129"/>
      <c r="AH31" s="66"/>
      <c r="AI31" s="66"/>
      <c r="AJ31" s="129"/>
      <c r="AK31" s="66"/>
      <c r="AL31" s="66"/>
      <c r="AM31" s="32"/>
      <c r="AN31" s="66"/>
      <c r="AO31" s="66"/>
      <c r="AP31" s="32"/>
      <c r="AQ31" s="66"/>
      <c r="AR31" s="66"/>
      <c r="AS31" s="66"/>
      <c r="AT31" s="66"/>
      <c r="AU31" s="66"/>
      <c r="AV31" s="66"/>
      <c r="AW31" s="66"/>
      <c r="AX31" s="66"/>
      <c r="AY31" s="32"/>
      <c r="AZ31" s="66"/>
      <c r="BA31" s="66"/>
      <c r="BB31" s="32"/>
      <c r="BC31" s="66"/>
      <c r="BD31" s="66"/>
      <c r="BE31" s="66"/>
      <c r="BF31" s="66"/>
      <c r="BG31" s="66"/>
      <c r="BH31" s="129"/>
      <c r="BI31" s="66"/>
      <c r="BJ31" s="66"/>
      <c r="BK31" s="186"/>
      <c r="BL31" s="66"/>
      <c r="BM31" s="66"/>
      <c r="BN31" s="188"/>
      <c r="BO31" s="66"/>
      <c r="BP31" s="66"/>
      <c r="BQ31" s="189"/>
      <c r="BR31" s="66"/>
      <c r="BS31" s="66"/>
      <c r="BT31" s="182"/>
      <c r="BU31" s="66"/>
      <c r="BV31" s="66"/>
      <c r="BW31" s="185"/>
      <c r="BX31" s="66"/>
    </row>
    <row r="32" spans="1:76" ht="18.75" x14ac:dyDescent="0.2">
      <c r="A32" s="66"/>
      <c r="B32" s="129"/>
      <c r="C32" s="129"/>
      <c r="D32" s="129"/>
      <c r="E32" s="32"/>
      <c r="F32" s="32"/>
      <c r="G32" s="183"/>
      <c r="H32" s="32"/>
      <c r="I32" s="66"/>
      <c r="J32" s="66"/>
      <c r="K32" s="32"/>
      <c r="L32" s="32"/>
      <c r="M32" s="182"/>
      <c r="N32" s="129"/>
      <c r="O32" s="32"/>
      <c r="P32" s="66"/>
      <c r="Q32" s="66"/>
      <c r="R32" s="32"/>
      <c r="S32" s="32"/>
      <c r="T32" s="66"/>
      <c r="U32" s="32"/>
      <c r="V32" s="32"/>
      <c r="W32" s="183"/>
      <c r="X32" s="32"/>
      <c r="Y32" s="32"/>
      <c r="Z32" s="32"/>
      <c r="AA32" s="66"/>
      <c r="AB32" s="66"/>
      <c r="AC32" s="66"/>
      <c r="AD32" s="32"/>
      <c r="AE32" s="66"/>
      <c r="AF32" s="66"/>
      <c r="AG32" s="32"/>
      <c r="AH32" s="66"/>
      <c r="AI32" s="66"/>
      <c r="AJ32" s="182"/>
      <c r="AK32" s="66"/>
      <c r="AL32" s="66"/>
      <c r="AM32" s="129"/>
      <c r="AN32" s="66"/>
      <c r="AO32" s="66"/>
      <c r="AP32" s="32"/>
      <c r="AQ32" s="66"/>
      <c r="AR32" s="66"/>
      <c r="AS32" s="66"/>
      <c r="AT32" s="66"/>
      <c r="AU32" s="66"/>
      <c r="AV32" s="66"/>
      <c r="AW32" s="66"/>
      <c r="AX32" s="66"/>
      <c r="AY32" s="32"/>
      <c r="AZ32" s="66"/>
      <c r="BA32" s="66"/>
      <c r="BB32" s="32"/>
      <c r="BC32" s="66"/>
      <c r="BD32" s="66"/>
      <c r="BE32" s="66"/>
      <c r="BF32" s="66"/>
      <c r="BG32" s="66"/>
      <c r="BH32" s="32"/>
      <c r="BI32" s="66"/>
      <c r="BJ32" s="66"/>
      <c r="BK32" s="32"/>
      <c r="BL32" s="66"/>
      <c r="BM32" s="66"/>
      <c r="BN32" s="32"/>
      <c r="BO32" s="66"/>
      <c r="BP32" s="66"/>
      <c r="BQ32" s="32"/>
      <c r="BR32" s="66"/>
      <c r="BS32" s="66"/>
      <c r="BT32" s="32"/>
      <c r="BU32" s="66"/>
      <c r="BV32" s="66"/>
      <c r="BW32" s="32"/>
      <c r="BX32" s="66"/>
    </row>
    <row r="33" spans="1:76" ht="18.75" x14ac:dyDescent="0.2">
      <c r="A33" s="66"/>
      <c r="B33" s="32"/>
      <c r="C33" s="182"/>
      <c r="D33" s="129"/>
      <c r="E33" s="129"/>
      <c r="F33" s="129"/>
      <c r="G33" s="32"/>
      <c r="H33" s="182"/>
      <c r="I33" s="66"/>
      <c r="J33" s="66"/>
      <c r="K33" s="188"/>
      <c r="L33" s="129"/>
      <c r="M33" s="66"/>
      <c r="N33" s="66"/>
      <c r="O33" s="32"/>
      <c r="P33" s="66"/>
      <c r="Q33" s="66"/>
      <c r="R33" s="129"/>
      <c r="S33" s="190"/>
      <c r="T33" s="66"/>
      <c r="U33" s="182"/>
      <c r="V33" s="32"/>
      <c r="W33" s="32"/>
      <c r="X33" s="129"/>
      <c r="Y33" s="129"/>
      <c r="Z33" s="129"/>
      <c r="AA33" s="66"/>
      <c r="AB33" s="66"/>
      <c r="AC33" s="66"/>
      <c r="AD33" s="188"/>
      <c r="AE33" s="66"/>
      <c r="AF33" s="66"/>
      <c r="AG33" s="129"/>
      <c r="AH33" s="66"/>
      <c r="AI33" s="66"/>
      <c r="AJ33" s="66"/>
      <c r="AK33" s="66"/>
      <c r="AL33" s="66"/>
      <c r="AM33" s="66"/>
      <c r="AN33" s="66"/>
      <c r="AO33" s="66"/>
      <c r="AP33" s="32"/>
      <c r="AQ33" s="66"/>
      <c r="AR33" s="66"/>
      <c r="AS33" s="66"/>
      <c r="AT33" s="66"/>
      <c r="AU33" s="66"/>
      <c r="AV33" s="66"/>
      <c r="AW33" s="66"/>
      <c r="AX33" s="66"/>
      <c r="AY33" s="129"/>
      <c r="AZ33" s="66"/>
      <c r="BA33" s="66"/>
      <c r="BB33" s="190"/>
      <c r="BC33" s="66"/>
      <c r="BD33" s="66"/>
      <c r="BE33" s="66"/>
      <c r="BF33" s="66"/>
      <c r="BG33" s="66"/>
      <c r="BH33" s="182"/>
      <c r="BI33" s="66"/>
      <c r="BJ33" s="66"/>
      <c r="BK33" s="32"/>
      <c r="BL33" s="66"/>
      <c r="BM33" s="66"/>
      <c r="BN33" s="32"/>
      <c r="BO33" s="66"/>
      <c r="BP33" s="66"/>
      <c r="BQ33" s="129"/>
      <c r="BR33" s="66"/>
      <c r="BS33" s="66"/>
      <c r="BT33" s="129"/>
      <c r="BU33" s="66"/>
      <c r="BV33" s="66"/>
      <c r="BW33" s="129"/>
      <c r="BX33" s="66"/>
    </row>
    <row r="34" spans="1:76" x14ac:dyDescent="0.2">
      <c r="A34" s="66"/>
      <c r="B34" s="66"/>
      <c r="C34" s="66"/>
      <c r="D34" s="182"/>
      <c r="E34" s="32"/>
      <c r="F34" s="129"/>
      <c r="G34" s="32"/>
      <c r="H34" s="32"/>
      <c r="I34" s="66"/>
      <c r="J34" s="66"/>
      <c r="K34" s="182"/>
      <c r="L34" s="66"/>
      <c r="M34" s="66"/>
      <c r="N34" s="66"/>
      <c r="O34" s="32"/>
      <c r="P34" s="66"/>
      <c r="Q34" s="66"/>
      <c r="R34" s="32"/>
      <c r="S34" s="66"/>
      <c r="T34" s="66"/>
      <c r="U34" s="32"/>
      <c r="V34" s="182"/>
      <c r="W34" s="32"/>
      <c r="X34" s="182"/>
      <c r="Y34" s="66"/>
      <c r="Z34" s="66"/>
      <c r="AA34" s="66"/>
      <c r="AB34" s="66"/>
      <c r="AC34" s="66"/>
      <c r="AD34" s="182"/>
      <c r="AE34" s="66"/>
      <c r="AF34" s="66"/>
      <c r="AG34" s="66"/>
      <c r="AH34" s="66"/>
      <c r="AI34" s="66"/>
      <c r="AJ34" s="66"/>
      <c r="AK34" s="66"/>
      <c r="AL34" s="66"/>
      <c r="AM34" s="66"/>
      <c r="AN34" s="66"/>
      <c r="AO34" s="66"/>
      <c r="AP34" s="32"/>
      <c r="AQ34" s="66"/>
      <c r="AR34" s="66"/>
      <c r="AS34" s="66"/>
      <c r="AT34" s="66"/>
      <c r="AU34" s="66"/>
      <c r="AV34" s="66"/>
      <c r="AW34" s="66"/>
      <c r="AX34" s="66"/>
      <c r="AY34" s="32"/>
      <c r="AZ34" s="66"/>
      <c r="BA34" s="66"/>
      <c r="BB34" s="66"/>
      <c r="BC34" s="66"/>
      <c r="BD34" s="66"/>
      <c r="BE34" s="66"/>
      <c r="BF34" s="66"/>
      <c r="BG34" s="66"/>
      <c r="BH34" s="32"/>
      <c r="BI34" s="66"/>
      <c r="BJ34" s="66"/>
      <c r="BK34" s="182"/>
      <c r="BL34" s="66"/>
      <c r="BM34" s="66"/>
      <c r="BN34" s="32"/>
      <c r="BO34" s="66"/>
      <c r="BP34" s="66"/>
      <c r="BQ34" s="182"/>
      <c r="BR34" s="66"/>
      <c r="BS34" s="66"/>
      <c r="BT34" s="66"/>
      <c r="BU34" s="66"/>
      <c r="BV34" s="66"/>
      <c r="BW34" s="66"/>
      <c r="BX34" s="66"/>
    </row>
    <row r="35" spans="1:76" ht="18.75" x14ac:dyDescent="0.2">
      <c r="A35" s="66"/>
      <c r="B35" s="66"/>
      <c r="C35" s="66"/>
      <c r="D35" s="66"/>
      <c r="E35" s="32"/>
      <c r="F35" s="32"/>
      <c r="G35" s="129"/>
      <c r="H35" s="32"/>
      <c r="I35" s="66"/>
      <c r="J35" s="66"/>
      <c r="K35" s="32"/>
      <c r="L35" s="66"/>
      <c r="M35" s="66"/>
      <c r="N35" s="66"/>
      <c r="O35" s="66"/>
      <c r="P35" s="66"/>
      <c r="Q35" s="66"/>
      <c r="R35" s="32"/>
      <c r="S35" s="66"/>
      <c r="T35" s="66"/>
      <c r="U35" s="32"/>
      <c r="V35" s="32"/>
      <c r="W35" s="183"/>
      <c r="X35" s="32"/>
      <c r="Y35" s="66"/>
      <c r="Z35" s="66"/>
      <c r="AA35" s="66"/>
      <c r="AB35" s="66"/>
      <c r="AC35" s="66"/>
      <c r="AD35" s="32"/>
      <c r="AE35" s="66"/>
      <c r="AF35" s="66"/>
      <c r="AG35" s="66"/>
      <c r="AH35" s="66"/>
      <c r="AI35" s="66"/>
      <c r="AJ35" s="66"/>
      <c r="AK35" s="66"/>
      <c r="AL35" s="66"/>
      <c r="AM35" s="66"/>
      <c r="AN35" s="66"/>
      <c r="AO35" s="66"/>
      <c r="AP35" s="66"/>
      <c r="AQ35" s="66"/>
      <c r="AR35" s="66"/>
      <c r="AS35" s="66"/>
      <c r="AT35" s="66"/>
      <c r="AU35" s="66"/>
      <c r="AV35" s="66"/>
      <c r="AW35" s="66"/>
      <c r="AX35" s="66"/>
      <c r="AY35" s="32"/>
      <c r="AZ35" s="66"/>
      <c r="BA35" s="66"/>
      <c r="BB35" s="66"/>
      <c r="BC35" s="66"/>
      <c r="BD35" s="66"/>
      <c r="BE35" s="66"/>
      <c r="BF35" s="66"/>
      <c r="BG35" s="66"/>
      <c r="BH35" s="32"/>
      <c r="BI35" s="66"/>
      <c r="BJ35" s="66"/>
      <c r="BK35" s="32"/>
      <c r="BL35" s="66"/>
      <c r="BM35" s="66"/>
      <c r="BN35" s="32"/>
      <c r="BO35" s="66"/>
      <c r="BP35" s="66"/>
      <c r="BQ35" s="32"/>
      <c r="BR35" s="66"/>
      <c r="BS35" s="66"/>
      <c r="BT35" s="66"/>
      <c r="BU35" s="66"/>
      <c r="BV35" s="66"/>
      <c r="BW35" s="66"/>
      <c r="BX35" s="66"/>
    </row>
    <row r="36" spans="1:76" ht="18.75" x14ac:dyDescent="0.3">
      <c r="A36" s="66"/>
      <c r="B36" s="66"/>
      <c r="C36" s="66"/>
      <c r="D36" s="66"/>
      <c r="E36" s="66"/>
      <c r="F36" s="66"/>
      <c r="G36" s="180"/>
      <c r="H36" s="66"/>
      <c r="I36" s="66"/>
      <c r="J36" s="66"/>
      <c r="K36" s="32"/>
      <c r="L36" s="66"/>
      <c r="M36" s="66"/>
      <c r="N36" s="66"/>
      <c r="O36" s="66"/>
      <c r="P36" s="66"/>
      <c r="Q36" s="66"/>
      <c r="R36" s="66"/>
      <c r="S36" s="66"/>
      <c r="T36" s="66"/>
      <c r="U36" s="32"/>
      <c r="V36" s="66"/>
      <c r="W36" s="32"/>
      <c r="X36" s="66"/>
      <c r="Y36" s="66"/>
      <c r="Z36" s="66"/>
      <c r="AA36" s="66"/>
      <c r="AB36" s="66"/>
      <c r="AC36" s="66"/>
      <c r="AD36" s="32"/>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32"/>
      <c r="BI36" s="66"/>
      <c r="BJ36" s="66"/>
      <c r="BK36" s="66"/>
      <c r="BL36" s="66"/>
      <c r="BM36" s="66"/>
      <c r="BN36" s="32"/>
      <c r="BO36" s="66"/>
      <c r="BP36" s="66"/>
      <c r="BQ36" s="66"/>
      <c r="BR36" s="66"/>
      <c r="BS36" s="66"/>
      <c r="BT36" s="66"/>
      <c r="BU36" s="66"/>
      <c r="BV36" s="66"/>
      <c r="BW36" s="66"/>
      <c r="BX36" s="66"/>
    </row>
    <row r="37" spans="1:76" x14ac:dyDescent="0.2">
      <c r="A37" s="66"/>
      <c r="B37" s="66"/>
      <c r="C37" s="66"/>
      <c r="D37" s="66"/>
      <c r="E37" s="66"/>
      <c r="F37" s="66"/>
      <c r="G37" s="182"/>
      <c r="H37" s="66"/>
      <c r="I37" s="66"/>
      <c r="J37" s="66"/>
      <c r="K37" s="66"/>
      <c r="L37" s="66"/>
      <c r="M37" s="66"/>
      <c r="N37" s="66"/>
      <c r="O37" s="66"/>
      <c r="P37" s="66"/>
      <c r="Q37" s="66"/>
      <c r="R37" s="66"/>
      <c r="S37" s="66"/>
      <c r="T37" s="66"/>
      <c r="U37" s="129"/>
      <c r="V37" s="66"/>
      <c r="W37" s="182"/>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129"/>
      <c r="BI37" s="66"/>
      <c r="BJ37" s="66"/>
      <c r="BK37" s="66"/>
      <c r="BL37" s="66"/>
      <c r="BM37" s="66"/>
      <c r="BN37" s="182"/>
      <c r="BO37" s="66"/>
      <c r="BP37" s="66"/>
      <c r="BQ37" s="66"/>
      <c r="BR37" s="66"/>
      <c r="BS37" s="66"/>
      <c r="BT37" s="66"/>
      <c r="BU37" s="66"/>
      <c r="BV37" s="66"/>
      <c r="BW37" s="66"/>
      <c r="BX37" s="66"/>
    </row>
    <row r="38" spans="1:76" x14ac:dyDescent="0.2">
      <c r="A38" s="66"/>
      <c r="B38" s="66"/>
      <c r="C38" s="66"/>
      <c r="D38" s="66"/>
      <c r="E38" s="66"/>
      <c r="F38" s="66"/>
      <c r="G38" s="32"/>
      <c r="H38" s="66"/>
      <c r="I38" s="66"/>
      <c r="J38" s="66"/>
      <c r="K38" s="66"/>
      <c r="L38" s="66"/>
      <c r="M38" s="66"/>
      <c r="N38" s="66"/>
      <c r="O38" s="66"/>
      <c r="P38" s="66"/>
      <c r="Q38" s="66"/>
      <c r="R38" s="66"/>
      <c r="S38" s="66"/>
      <c r="T38" s="66"/>
      <c r="U38" s="32"/>
      <c r="V38" s="66"/>
      <c r="W38" s="32"/>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32"/>
      <c r="BI38" s="66"/>
      <c r="BJ38" s="66"/>
      <c r="BK38" s="66"/>
      <c r="BL38" s="66"/>
      <c r="BM38" s="66"/>
      <c r="BN38" s="32"/>
      <c r="BO38" s="66"/>
      <c r="BP38" s="66"/>
      <c r="BQ38" s="66"/>
      <c r="BR38" s="66"/>
      <c r="BS38" s="66"/>
      <c r="BT38" s="66"/>
      <c r="BU38" s="66"/>
      <c r="BV38" s="66"/>
      <c r="BW38" s="66"/>
      <c r="BX38" s="66"/>
    </row>
    <row r="39" spans="1:76" x14ac:dyDescent="0.2">
      <c r="A39" s="66"/>
      <c r="B39" s="66"/>
      <c r="C39" s="66"/>
      <c r="D39" s="66"/>
      <c r="E39" s="66"/>
      <c r="F39" s="66"/>
      <c r="G39" s="182"/>
      <c r="H39" s="66"/>
      <c r="I39" s="66"/>
      <c r="J39" s="66"/>
      <c r="K39" s="66"/>
      <c r="L39" s="66"/>
      <c r="M39" s="66"/>
      <c r="N39" s="66"/>
      <c r="O39" s="66"/>
      <c r="P39" s="66"/>
      <c r="Q39" s="66"/>
      <c r="R39" s="66"/>
      <c r="S39" s="66"/>
      <c r="T39" s="66"/>
      <c r="U39" s="182"/>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182"/>
      <c r="BI39" s="66"/>
      <c r="BJ39" s="66"/>
      <c r="BK39" s="66"/>
      <c r="BL39" s="66"/>
      <c r="BM39" s="66"/>
      <c r="BN39" s="66"/>
      <c r="BO39" s="66"/>
      <c r="BP39" s="66"/>
      <c r="BQ39" s="66"/>
      <c r="BR39" s="66"/>
      <c r="BS39" s="66"/>
      <c r="BT39" s="66"/>
      <c r="BU39" s="66"/>
      <c r="BV39" s="66"/>
      <c r="BW39" s="66"/>
      <c r="BX39" s="66"/>
    </row>
    <row r="40" spans="1:76" x14ac:dyDescent="0.2">
      <c r="A40" s="66"/>
      <c r="B40" s="66"/>
      <c r="C40" s="66"/>
      <c r="D40" s="66"/>
      <c r="E40" s="66"/>
      <c r="F40" s="66"/>
      <c r="G40" s="129"/>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row>
    <row r="41" spans="1:76" x14ac:dyDescent="0.2">
      <c r="A41" s="66"/>
      <c r="B41" s="66"/>
      <c r="C41" s="66"/>
      <c r="D41" s="66"/>
      <c r="E41" s="66"/>
      <c r="F41" s="66"/>
      <c r="G41" s="32"/>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row>
    <row r="42" spans="1:76" x14ac:dyDescent="0.2">
      <c r="A42" s="66"/>
      <c r="B42" s="66"/>
      <c r="C42" s="66"/>
      <c r="D42" s="66"/>
      <c r="E42" s="66"/>
      <c r="F42" s="66"/>
      <c r="G42" s="32"/>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row>
    <row r="43" spans="1:76" x14ac:dyDescent="0.2">
      <c r="A43" s="66"/>
      <c r="B43" s="66"/>
      <c r="C43" s="66"/>
      <c r="D43" s="66"/>
      <c r="E43" s="66"/>
      <c r="F43" s="66"/>
      <c r="G43" s="182"/>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row>
    <row r="44" spans="1:76" x14ac:dyDescent="0.2">
      <c r="A44" s="66"/>
      <c r="B44" s="66"/>
      <c r="C44" s="66"/>
      <c r="D44" s="66"/>
      <c r="E44" s="66"/>
      <c r="F44" s="66"/>
      <c r="G44" s="129"/>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row>
    <row r="45" spans="1:76" x14ac:dyDescent="0.2">
      <c r="A45" s="66"/>
      <c r="B45" s="66"/>
      <c r="C45" s="66"/>
      <c r="D45" s="66"/>
      <c r="E45" s="66"/>
      <c r="F45" s="66"/>
      <c r="G45" s="182"/>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row>
  </sheetData>
  <mergeCells count="15">
    <mergeCell ref="A1:T1"/>
    <mergeCell ref="A2:T2"/>
    <mergeCell ref="A3:T3"/>
    <mergeCell ref="A5:T5"/>
    <mergeCell ref="A7:T7"/>
    <mergeCell ref="A9:T9"/>
    <mergeCell ref="A11:T11"/>
    <mergeCell ref="A23:T23"/>
    <mergeCell ref="A27:T27"/>
    <mergeCell ref="A25:T25"/>
    <mergeCell ref="A13:T13"/>
    <mergeCell ref="A15:T15"/>
    <mergeCell ref="A17:T17"/>
    <mergeCell ref="A19:T19"/>
    <mergeCell ref="A21:T21"/>
  </mergeCells>
  <pageMargins left="0.25" right="0.25"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CBC8E-43EF-47C2-B151-CD8DE5BE9BC9}">
  <dimension ref="A1:K62"/>
  <sheetViews>
    <sheetView view="pageLayout" zoomScaleNormal="100" workbookViewId="0">
      <selection sqref="A1:K63"/>
    </sheetView>
  </sheetViews>
  <sheetFormatPr defaultRowHeight="12.75" x14ac:dyDescent="0.2"/>
  <cols>
    <col min="1" max="1" width="3.5703125" customWidth="1"/>
  </cols>
  <sheetData>
    <row r="1" spans="1:11" x14ac:dyDescent="0.2">
      <c r="A1" s="5"/>
      <c r="B1" s="574" t="s">
        <v>526</v>
      </c>
      <c r="C1" s="520"/>
      <c r="D1" s="520"/>
      <c r="E1" s="520"/>
      <c r="F1" s="520"/>
      <c r="G1" s="520"/>
      <c r="H1" s="520"/>
      <c r="I1" s="520"/>
      <c r="J1" s="520"/>
      <c r="K1" s="520"/>
    </row>
    <row r="2" spans="1:11" x14ac:dyDescent="0.2">
      <c r="A2" s="5"/>
      <c r="B2" s="320" t="s">
        <v>490</v>
      </c>
      <c r="C2" s="571"/>
      <c r="D2" s="572"/>
      <c r="E2" s="572"/>
      <c r="F2" s="572"/>
      <c r="G2" s="572"/>
      <c r="H2" s="345" t="s">
        <v>492</v>
      </c>
      <c r="I2" s="5"/>
      <c r="J2" s="345" t="s">
        <v>419</v>
      </c>
      <c r="K2" s="320" t="str">
        <f>ответы!G31</f>
        <v>муж.</v>
      </c>
    </row>
    <row r="3" spans="1:11" x14ac:dyDescent="0.2">
      <c r="A3" s="5"/>
      <c r="B3" s="520" t="s">
        <v>491</v>
      </c>
      <c r="C3" s="520"/>
      <c r="D3" s="520"/>
      <c r="E3" s="520"/>
      <c r="F3" s="520"/>
      <c r="G3" s="520"/>
      <c r="H3" s="520"/>
      <c r="I3" s="520"/>
      <c r="J3" s="520"/>
      <c r="K3" s="520"/>
    </row>
    <row r="4" spans="1:11" x14ac:dyDescent="0.2">
      <c r="A4" s="320">
        <v>1</v>
      </c>
      <c r="B4" s="576" t="s">
        <v>497</v>
      </c>
      <c r="C4" s="576"/>
      <c r="D4" s="576"/>
      <c r="E4" s="577"/>
      <c r="F4" s="345" t="s">
        <v>494</v>
      </c>
      <c r="G4" s="318">
        <f>ответы!C35</f>
        <v>0</v>
      </c>
      <c r="H4" s="520" t="str">
        <f>ответы!D35</f>
        <v>низкая</v>
      </c>
      <c r="I4" s="520"/>
      <c r="J4" s="520"/>
      <c r="K4" s="520"/>
    </row>
    <row r="5" spans="1:11" x14ac:dyDescent="0.2">
      <c r="A5" s="320">
        <v>2</v>
      </c>
      <c r="B5" s="336" t="s">
        <v>495</v>
      </c>
      <c r="C5" s="316"/>
      <c r="D5" s="316"/>
      <c r="E5" s="316"/>
      <c r="F5" s="316"/>
      <c r="G5" s="345" t="s">
        <v>496</v>
      </c>
      <c r="H5" s="295">
        <f>ответы!C33</f>
        <v>0</v>
      </c>
      <c r="I5" s="520" t="str">
        <f>ответы!D33</f>
        <v>нормальное</v>
      </c>
      <c r="J5" s="520"/>
      <c r="K5" s="520"/>
    </row>
    <row r="6" spans="1:11" x14ac:dyDescent="0.2">
      <c r="A6" s="320">
        <v>3</v>
      </c>
      <c r="B6" s="577" t="s">
        <v>498</v>
      </c>
      <c r="C6" s="571"/>
      <c r="D6" s="571"/>
      <c r="E6" s="571"/>
      <c r="F6" s="317" t="s">
        <v>499</v>
      </c>
      <c r="G6" s="297">
        <f>ответы!AI23</f>
        <v>0</v>
      </c>
      <c r="H6" s="345" t="s">
        <v>500</v>
      </c>
      <c r="I6" s="297">
        <f>ответы!AH23</f>
        <v>0</v>
      </c>
      <c r="J6" s="520" t="str">
        <f>IF(I6-G6&gt;=4,"есть склонность","нет склонности")</f>
        <v>нет склонности</v>
      </c>
      <c r="K6" s="520"/>
    </row>
    <row r="7" spans="1:11" x14ac:dyDescent="0.2">
      <c r="A7" s="320">
        <v>4</v>
      </c>
      <c r="B7" s="576" t="s">
        <v>530</v>
      </c>
      <c r="C7" s="583"/>
      <c r="D7" s="583"/>
      <c r="E7" s="583"/>
      <c r="F7" s="573"/>
      <c r="G7" s="520" t="str">
        <f>IF(G6&gt;I6,"откровенность повышена","нет повышеной откровенности")</f>
        <v>нет повышеной откровенности</v>
      </c>
      <c r="H7" s="520"/>
      <c r="I7" s="520"/>
      <c r="J7" s="520"/>
      <c r="K7" s="520"/>
    </row>
    <row r="8" spans="1:11" x14ac:dyDescent="0.2">
      <c r="A8" s="320">
        <v>5</v>
      </c>
      <c r="B8" s="577" t="s">
        <v>527</v>
      </c>
      <c r="C8" s="572"/>
      <c r="D8" s="572"/>
      <c r="E8" s="572"/>
      <c r="F8" s="572"/>
      <c r="G8" s="572"/>
      <c r="H8" s="572"/>
      <c r="I8" s="297">
        <f>ответы!AJ23</f>
        <v>0</v>
      </c>
      <c r="J8" s="520" t="str">
        <f>IF(I8&gt;=5,"возможна","не выявлена")</f>
        <v>не выявлена</v>
      </c>
      <c r="K8" s="520"/>
    </row>
    <row r="9" spans="1:11" x14ac:dyDescent="0.2">
      <c r="A9" s="320">
        <v>6</v>
      </c>
      <c r="B9" s="573" t="s">
        <v>501</v>
      </c>
      <c r="C9" s="572"/>
      <c r="D9" s="572"/>
      <c r="E9" s="572"/>
      <c r="F9" s="346" t="s">
        <v>502</v>
      </c>
      <c r="G9" s="297">
        <f>ответы!AK23</f>
        <v>0</v>
      </c>
      <c r="H9" s="520" t="str">
        <f>IF(G9=0,"слабая",IF(G9=1,"слабая",IF(G9=2,"умеренная",IF(G9=3,"умеренная",IF(G9=4,"выраженная",IF(G9=5,"выраженная",IF(G9&gt;=6,"очень сильная","")))))))</f>
        <v>слабая</v>
      </c>
      <c r="I9" s="520"/>
      <c r="J9" s="520"/>
      <c r="K9" s="520"/>
    </row>
    <row r="10" spans="1:11" x14ac:dyDescent="0.2">
      <c r="A10" s="320">
        <v>7</v>
      </c>
      <c r="B10" s="580" t="s">
        <v>503</v>
      </c>
      <c r="C10" s="520"/>
      <c r="D10" s="520"/>
      <c r="E10" s="520"/>
      <c r="F10" s="520"/>
      <c r="G10" s="346" t="s">
        <v>504</v>
      </c>
      <c r="H10" s="297">
        <f>ответы!AL23</f>
        <v>0</v>
      </c>
      <c r="I10" s="520" t="str">
        <f>IF(H10=2,"умеренная",IF(H10=3,"умеренная",IF(G9=4,"выраженная",IF(G9=5,"выраженная",IF(G9&gt;=6,"очень сильная","")))))</f>
        <v/>
      </c>
      <c r="J10" s="520"/>
      <c r="K10" s="520"/>
    </row>
    <row r="11" spans="1:11" x14ac:dyDescent="0.2">
      <c r="A11" s="320">
        <v>8</v>
      </c>
      <c r="B11" s="581" t="s">
        <v>507</v>
      </c>
      <c r="C11" s="581"/>
      <c r="D11" s="581"/>
      <c r="E11" s="582"/>
      <c r="F11" s="346" t="s">
        <v>506</v>
      </c>
      <c r="G11" s="319">
        <f>ответы!AM23</f>
        <v>0</v>
      </c>
      <c r="H11" s="346" t="s">
        <v>505</v>
      </c>
      <c r="I11" s="319">
        <f>ответы!AN23</f>
        <v>0</v>
      </c>
      <c r="J11" s="520" t="str">
        <f>IF(G11&gt;I11,"мужественность","женственность")</f>
        <v>женственность</v>
      </c>
      <c r="K11" s="520"/>
    </row>
    <row r="12" spans="1:11" x14ac:dyDescent="0.2">
      <c r="A12" s="320">
        <v>9</v>
      </c>
      <c r="B12" s="573" t="s">
        <v>508</v>
      </c>
      <c r="C12" s="572"/>
      <c r="D12" s="572"/>
      <c r="E12" s="572"/>
      <c r="F12" s="346" t="s">
        <v>509</v>
      </c>
      <c r="G12" s="319">
        <f>ответы!C34</f>
        <v>0</v>
      </c>
      <c r="H12" s="520" t="str">
        <f>ответы!D34</f>
        <v>склоность не определена</v>
      </c>
      <c r="I12" s="520"/>
      <c r="J12" s="520"/>
      <c r="K12" s="520"/>
    </row>
    <row r="13" spans="1:11" x14ac:dyDescent="0.2">
      <c r="A13" s="320">
        <v>10</v>
      </c>
      <c r="B13" s="575" t="s">
        <v>524</v>
      </c>
      <c r="C13" s="576"/>
      <c r="D13" s="576"/>
      <c r="E13" s="576"/>
      <c r="F13" s="576"/>
      <c r="G13" s="577"/>
      <c r="H13" s="320">
        <f>ответы!CM19</f>
        <v>2</v>
      </c>
      <c r="I13" s="578" t="str">
        <f>ответы!CO19</f>
        <v>умеренный риск</v>
      </c>
      <c r="J13" s="579"/>
      <c r="K13" s="580"/>
    </row>
    <row r="14" spans="1:11" x14ac:dyDescent="0.2">
      <c r="A14" s="320">
        <v>11</v>
      </c>
      <c r="B14" s="577" t="s">
        <v>523</v>
      </c>
      <c r="C14" s="572"/>
      <c r="D14" s="572"/>
      <c r="E14" s="572"/>
      <c r="F14" s="572"/>
      <c r="G14" s="319">
        <f>ответы!E100</f>
        <v>2</v>
      </c>
      <c r="H14" s="520" t="str">
        <f>ответы!F100</f>
        <v>Риск депрессии</v>
      </c>
      <c r="I14" s="520"/>
      <c r="J14" s="520"/>
      <c r="K14" s="520"/>
    </row>
    <row r="15" spans="1:11" x14ac:dyDescent="0.2">
      <c r="A15" s="320">
        <v>12</v>
      </c>
      <c r="B15" s="573" t="s">
        <v>510</v>
      </c>
      <c r="C15" s="572"/>
      <c r="D15" s="572"/>
      <c r="E15" s="572"/>
      <c r="F15" s="572"/>
      <c r="G15" s="572"/>
      <c r="H15" s="319" t="e">
        <f>ответы!F134</f>
        <v>#N/A</v>
      </c>
      <c r="I15" s="520" t="e">
        <f>ответы!G134</f>
        <v>#N/A</v>
      </c>
      <c r="J15" s="520"/>
      <c r="K15" s="520"/>
    </row>
    <row r="16" spans="1:11" x14ac:dyDescent="0.2">
      <c r="A16" s="320">
        <v>13</v>
      </c>
      <c r="B16" s="573" t="s">
        <v>417</v>
      </c>
      <c r="C16" s="572"/>
      <c r="D16" s="572"/>
      <c r="E16" s="572"/>
      <c r="F16" s="572"/>
      <c r="G16" s="319" t="str">
        <f>ответы!F148</f>
        <v/>
      </c>
      <c r="H16" s="520" t="str">
        <f>ответы!G148</f>
        <v/>
      </c>
      <c r="I16" s="520"/>
      <c r="J16" s="520"/>
      <c r="K16" s="520"/>
    </row>
    <row r="17" spans="1:11" x14ac:dyDescent="0.2">
      <c r="A17" s="320">
        <v>14</v>
      </c>
      <c r="B17" s="575" t="s">
        <v>493</v>
      </c>
      <c r="C17" s="576"/>
      <c r="D17" s="576"/>
      <c r="E17" s="576"/>
      <c r="F17" s="577"/>
      <c r="G17" s="315"/>
      <c r="H17" s="321" t="str">
        <f>ответы!AC34</f>
        <v/>
      </c>
      <c r="I17" s="520" t="str">
        <f>ответы!AO33</f>
        <v>Смотри лист "правила 0-8"</v>
      </c>
      <c r="J17" s="520"/>
      <c r="K17" s="520"/>
    </row>
    <row r="18" spans="1:11" x14ac:dyDescent="0.2">
      <c r="A18" s="320">
        <v>15</v>
      </c>
      <c r="B18" s="571" t="s">
        <v>522</v>
      </c>
      <c r="C18" s="571"/>
      <c r="D18" s="571"/>
      <c r="E18" s="571"/>
      <c r="F18" s="571"/>
      <c r="G18" s="571"/>
      <c r="H18" s="320" t="e">
        <f>ответы!N67</f>
        <v>#N/A</v>
      </c>
      <c r="I18" s="520" t="e">
        <f>IF(H18=0,"признаков нет",IF(H18=1,"риск дезадаптации",IF(H18&gt;=2,"риск высокий","")))</f>
        <v>#N/A</v>
      </c>
      <c r="J18" s="520"/>
      <c r="K18" s="520"/>
    </row>
    <row r="19" spans="1:11" x14ac:dyDescent="0.2">
      <c r="A19" s="320">
        <v>16</v>
      </c>
      <c r="B19" s="575" t="s">
        <v>386</v>
      </c>
      <c r="C19" s="576"/>
      <c r="D19" s="576"/>
      <c r="E19" s="576"/>
      <c r="F19" s="576"/>
      <c r="G19" s="576"/>
      <c r="H19" s="320" t="e">
        <f>ответы!O117</f>
        <v>#N/A</v>
      </c>
      <c r="I19" s="520"/>
      <c r="J19" s="520"/>
      <c r="K19" s="520"/>
    </row>
    <row r="20" spans="1:11" x14ac:dyDescent="0.2">
      <c r="A20" s="322">
        <v>17</v>
      </c>
      <c r="B20" s="575" t="s">
        <v>525</v>
      </c>
      <c r="C20" s="576"/>
      <c r="D20" s="576"/>
      <c r="E20" s="576"/>
      <c r="F20" s="576"/>
      <c r="G20" s="577"/>
      <c r="H20" s="323" t="e">
        <f>ответы!O183</f>
        <v>#N/A</v>
      </c>
      <c r="I20" s="572"/>
      <c r="J20" s="572"/>
      <c r="K20" s="572"/>
    </row>
    <row r="21" spans="1:11" x14ac:dyDescent="0.2">
      <c r="A21" s="63"/>
      <c r="B21" s="63"/>
      <c r="C21" s="63"/>
      <c r="D21" s="63"/>
      <c r="E21" s="63"/>
      <c r="F21" s="63"/>
      <c r="G21" s="63"/>
      <c r="H21" s="63"/>
      <c r="I21" s="63"/>
      <c r="J21" s="63"/>
      <c r="K21" s="63"/>
    </row>
    <row r="22" spans="1:11" x14ac:dyDescent="0.2">
      <c r="A22" s="63"/>
      <c r="B22" s="63"/>
      <c r="C22" s="63"/>
      <c r="D22" s="63"/>
      <c r="E22" s="63"/>
      <c r="F22" s="63"/>
      <c r="G22" s="63"/>
      <c r="H22" s="63"/>
      <c r="I22" s="63"/>
      <c r="J22" s="63"/>
      <c r="K22" s="63"/>
    </row>
    <row r="23" spans="1:11" x14ac:dyDescent="0.2">
      <c r="A23" s="63"/>
      <c r="B23" s="63"/>
      <c r="C23" s="63"/>
      <c r="D23" s="63"/>
      <c r="E23" s="63"/>
      <c r="F23" s="63"/>
      <c r="G23" s="63"/>
      <c r="H23" s="63"/>
      <c r="I23" s="63"/>
      <c r="J23" s="63"/>
      <c r="K23" s="63"/>
    </row>
    <row r="24" spans="1:11" x14ac:dyDescent="0.2">
      <c r="A24" s="63"/>
      <c r="B24" s="63"/>
      <c r="C24" s="63"/>
      <c r="D24" s="63"/>
      <c r="E24" s="63"/>
      <c r="F24" s="63"/>
      <c r="G24" s="63"/>
      <c r="H24" s="63"/>
      <c r="I24" s="63"/>
      <c r="J24" s="63"/>
      <c r="K24" s="63"/>
    </row>
    <row r="25" spans="1:11" x14ac:dyDescent="0.2">
      <c r="A25" s="63"/>
      <c r="B25" s="63"/>
      <c r="C25" s="63"/>
      <c r="D25" s="63"/>
      <c r="E25" s="63"/>
      <c r="F25" s="63"/>
      <c r="G25" s="63"/>
      <c r="H25" s="63"/>
      <c r="I25" s="63"/>
      <c r="J25" s="63"/>
      <c r="K25" s="63"/>
    </row>
    <row r="26" spans="1:11" x14ac:dyDescent="0.2">
      <c r="A26" s="63"/>
      <c r="B26" s="63"/>
      <c r="C26" s="63"/>
      <c r="D26" s="63"/>
      <c r="E26" s="63"/>
      <c r="F26" s="63"/>
      <c r="G26" s="63"/>
      <c r="H26" s="63"/>
      <c r="I26" s="63"/>
      <c r="J26" s="63"/>
      <c r="K26" s="63"/>
    </row>
    <row r="27" spans="1:11" x14ac:dyDescent="0.2">
      <c r="A27" s="63"/>
      <c r="B27" s="63"/>
      <c r="C27" s="63"/>
      <c r="D27" s="63"/>
      <c r="E27" s="63"/>
      <c r="F27" s="63"/>
      <c r="G27" s="63"/>
      <c r="H27" s="63"/>
      <c r="I27" s="63"/>
      <c r="J27" s="63"/>
      <c r="K27" s="63"/>
    </row>
    <row r="28" spans="1:11" x14ac:dyDescent="0.2">
      <c r="A28" s="63"/>
      <c r="B28" s="63"/>
      <c r="C28" s="63"/>
      <c r="D28" s="63"/>
      <c r="E28" s="63"/>
      <c r="F28" s="63"/>
      <c r="G28" s="63"/>
      <c r="H28" s="63"/>
      <c r="I28" s="63"/>
      <c r="J28" s="63"/>
      <c r="K28" s="63"/>
    </row>
    <row r="29" spans="1:11" x14ac:dyDescent="0.2">
      <c r="A29" s="63"/>
      <c r="B29" s="63"/>
      <c r="C29" s="63"/>
      <c r="D29" s="63"/>
      <c r="E29" s="63"/>
      <c r="F29" s="63"/>
      <c r="G29" s="63"/>
      <c r="H29" s="63"/>
      <c r="I29" s="63"/>
      <c r="J29" s="63"/>
      <c r="K29" s="63"/>
    </row>
    <row r="30" spans="1:11" x14ac:dyDescent="0.2">
      <c r="A30" s="63"/>
      <c r="B30" s="63"/>
      <c r="C30" s="63"/>
      <c r="D30" s="63"/>
      <c r="E30" s="63"/>
      <c r="F30" s="63"/>
      <c r="G30" s="63"/>
      <c r="H30" s="63"/>
      <c r="I30" s="63"/>
      <c r="J30" s="63"/>
      <c r="K30" s="63"/>
    </row>
    <row r="31" spans="1:11" ht="12.75" hidden="1" customHeight="1" x14ac:dyDescent="0.2">
      <c r="A31" s="340"/>
      <c r="B31" s="63"/>
      <c r="C31" s="63"/>
      <c r="D31" s="63"/>
      <c r="E31" s="63"/>
      <c r="F31" s="63"/>
      <c r="G31" s="63"/>
      <c r="H31" s="63"/>
      <c r="I31" s="63"/>
      <c r="J31" s="63"/>
      <c r="K31" s="341"/>
    </row>
    <row r="32" spans="1:11" ht="71.25" hidden="1" customHeight="1" thickBot="1" x14ac:dyDescent="0.25">
      <c r="A32" s="342"/>
      <c r="B32" s="343"/>
      <c r="C32" s="343"/>
      <c r="D32" s="343"/>
      <c r="E32" s="343"/>
      <c r="F32" s="343"/>
      <c r="G32" s="343"/>
      <c r="H32" s="343"/>
      <c r="I32" s="343"/>
      <c r="J32" s="343"/>
      <c r="K32" s="344"/>
    </row>
    <row r="62" spans="1:11" ht="297" customHeight="1" x14ac:dyDescent="0.2">
      <c r="A62" s="584" t="e">
        <f>типы!#REF!</f>
        <v>#REF!</v>
      </c>
      <c r="B62" s="584"/>
      <c r="C62" s="584"/>
      <c r="D62" s="584"/>
      <c r="E62" s="584"/>
      <c r="F62" s="584"/>
      <c r="G62" s="584"/>
      <c r="H62" s="584"/>
      <c r="I62" s="584"/>
      <c r="J62" s="584"/>
      <c r="K62" s="584"/>
    </row>
  </sheetData>
  <mergeCells count="37">
    <mergeCell ref="A62:K62"/>
    <mergeCell ref="H16:K16"/>
    <mergeCell ref="B14:F14"/>
    <mergeCell ref="H14:K14"/>
    <mergeCell ref="B15:G15"/>
    <mergeCell ref="I15:K15"/>
    <mergeCell ref="I20:K20"/>
    <mergeCell ref="B20:G20"/>
    <mergeCell ref="B4:E4"/>
    <mergeCell ref="J6:K6"/>
    <mergeCell ref="G7:K7"/>
    <mergeCell ref="B7:F7"/>
    <mergeCell ref="B6:E6"/>
    <mergeCell ref="B19:G19"/>
    <mergeCell ref="B13:G13"/>
    <mergeCell ref="I13:K13"/>
    <mergeCell ref="I19:K19"/>
    <mergeCell ref="I17:K17"/>
    <mergeCell ref="B18:G18"/>
    <mergeCell ref="I18:K18"/>
    <mergeCell ref="B17:F17"/>
    <mergeCell ref="C2:G2"/>
    <mergeCell ref="H12:K12"/>
    <mergeCell ref="B12:E12"/>
    <mergeCell ref="B16:F16"/>
    <mergeCell ref="B1:K1"/>
    <mergeCell ref="H9:K9"/>
    <mergeCell ref="B10:F10"/>
    <mergeCell ref="I10:K10"/>
    <mergeCell ref="H4:K4"/>
    <mergeCell ref="B8:H8"/>
    <mergeCell ref="J8:K8"/>
    <mergeCell ref="B9:E9"/>
    <mergeCell ref="J11:K11"/>
    <mergeCell ref="B11:E11"/>
    <mergeCell ref="I5:K5"/>
    <mergeCell ref="B3:K3"/>
  </mergeCells>
  <pageMargins left="0.25" right="0.25"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X98"/>
  <sheetViews>
    <sheetView view="pageLayout" topLeftCell="B1" zoomScaleNormal="90" workbookViewId="0">
      <selection activeCell="S5" sqref="S5"/>
    </sheetView>
  </sheetViews>
  <sheetFormatPr defaultRowHeight="12.75" x14ac:dyDescent="0.2"/>
  <cols>
    <col min="1" max="1" width="11.28515625" customWidth="1"/>
    <col min="2" max="2" width="16.7109375" customWidth="1"/>
    <col min="8" max="14" width="5.7109375" customWidth="1"/>
    <col min="15" max="23" width="6.7109375" customWidth="1"/>
  </cols>
  <sheetData>
    <row r="3" spans="24:24" x14ac:dyDescent="0.2">
      <c r="X3" t="s">
        <v>97</v>
      </c>
    </row>
    <row r="4" spans="24:24" x14ac:dyDescent="0.2">
      <c r="X4" t="s">
        <v>98</v>
      </c>
    </row>
    <row r="5" spans="24:24" x14ac:dyDescent="0.2">
      <c r="X5" t="s">
        <v>106</v>
      </c>
    </row>
    <row r="6" spans="24:24" x14ac:dyDescent="0.2">
      <c r="X6" t="s">
        <v>99</v>
      </c>
    </row>
    <row r="7" spans="24:24" x14ac:dyDescent="0.2">
      <c r="X7" t="s">
        <v>100</v>
      </c>
    </row>
    <row r="8" spans="24:24" x14ac:dyDescent="0.2">
      <c r="X8" t="s">
        <v>101</v>
      </c>
    </row>
    <row r="9" spans="24:24" x14ac:dyDescent="0.2">
      <c r="X9" t="s">
        <v>102</v>
      </c>
    </row>
    <row r="10" spans="24:24" x14ac:dyDescent="0.2">
      <c r="X10" t="s">
        <v>103</v>
      </c>
    </row>
    <row r="11" spans="24:24" x14ac:dyDescent="0.2">
      <c r="X11" t="s">
        <v>104</v>
      </c>
    </row>
    <row r="12" spans="24:24" x14ac:dyDescent="0.2">
      <c r="X12" t="s">
        <v>105</v>
      </c>
    </row>
    <row r="13" spans="24:24" x14ac:dyDescent="0.2">
      <c r="X13" t="s">
        <v>111</v>
      </c>
    </row>
    <row r="14" spans="24:24" x14ac:dyDescent="0.2">
      <c r="X14" t="s">
        <v>107</v>
      </c>
    </row>
    <row r="15" spans="24:24" x14ac:dyDescent="0.2">
      <c r="X15" t="s">
        <v>108</v>
      </c>
    </row>
    <row r="16" spans="24:24" x14ac:dyDescent="0.2">
      <c r="X16" t="s">
        <v>109</v>
      </c>
    </row>
    <row r="17" spans="24:24" x14ac:dyDescent="0.2">
      <c r="X17" t="s">
        <v>110</v>
      </c>
    </row>
    <row r="18" spans="24:24" x14ac:dyDescent="0.2">
      <c r="X18" s="59" t="s">
        <v>164</v>
      </c>
    </row>
    <row r="19" spans="24:24" x14ac:dyDescent="0.2">
      <c r="X19" s="55" t="s">
        <v>165</v>
      </c>
    </row>
    <row r="20" spans="24:24" x14ac:dyDescent="0.2">
      <c r="X20" s="59" t="s">
        <v>166</v>
      </c>
    </row>
    <row r="21" spans="24:24" x14ac:dyDescent="0.2">
      <c r="X21" s="59" t="s">
        <v>167</v>
      </c>
    </row>
    <row r="23" spans="24:24" x14ac:dyDescent="0.2">
      <c r="X23" s="59"/>
    </row>
    <row r="24" spans="24:24" x14ac:dyDescent="0.2">
      <c r="X24" s="55"/>
    </row>
    <row r="25" spans="24:24" x14ac:dyDescent="0.2">
      <c r="X25" s="59"/>
    </row>
    <row r="26" spans="24:24" x14ac:dyDescent="0.2">
      <c r="X26" s="59"/>
    </row>
    <row r="38" spans="1:24" ht="15" x14ac:dyDescent="0.2">
      <c r="B38" s="73"/>
      <c r="C38" s="74" t="s">
        <v>96</v>
      </c>
      <c r="D38" s="60" t="s">
        <v>12</v>
      </c>
      <c r="E38" s="60" t="s">
        <v>3</v>
      </c>
      <c r="F38" s="60" t="s">
        <v>15</v>
      </c>
      <c r="G38" s="60" t="s">
        <v>0</v>
      </c>
      <c r="H38" s="60" t="s">
        <v>19</v>
      </c>
      <c r="I38" s="60" t="s">
        <v>4</v>
      </c>
      <c r="J38" s="60" t="s">
        <v>17</v>
      </c>
      <c r="K38" s="60" t="s">
        <v>18</v>
      </c>
      <c r="L38" s="60" t="s">
        <v>20</v>
      </c>
      <c r="M38" s="60" t="s">
        <v>16</v>
      </c>
      <c r="N38" s="60" t="s">
        <v>29</v>
      </c>
      <c r="O38" s="60" t="s">
        <v>14</v>
      </c>
      <c r="P38" s="60" t="s">
        <v>30</v>
      </c>
      <c r="Q38" s="60" t="s">
        <v>31</v>
      </c>
      <c r="R38" s="60" t="s">
        <v>32</v>
      </c>
      <c r="S38" s="60" t="s">
        <v>33</v>
      </c>
      <c r="T38" s="60" t="s">
        <v>2</v>
      </c>
      <c r="U38" s="60" t="s">
        <v>34</v>
      </c>
      <c r="V38" s="60" t="s">
        <v>35</v>
      </c>
    </row>
    <row r="39" spans="1:24" x14ac:dyDescent="0.2">
      <c r="B39" s="73" t="s">
        <v>217</v>
      </c>
      <c r="C39" s="5">
        <f>ответы!U23</f>
        <v>0</v>
      </c>
      <c r="D39" s="5">
        <f>ответы!V23</f>
        <v>0</v>
      </c>
      <c r="E39" s="5">
        <f>ответы!W23</f>
        <v>0</v>
      </c>
      <c r="F39" s="5">
        <f>ответы!X23</f>
        <v>0</v>
      </c>
      <c r="G39" s="5">
        <f>ответы!Y23</f>
        <v>0</v>
      </c>
      <c r="H39" s="5">
        <f>ответы!Z23</f>
        <v>0</v>
      </c>
      <c r="I39" s="5">
        <f>ответы!AA23</f>
        <v>0</v>
      </c>
      <c r="J39" s="5">
        <f>ответы!AB23</f>
        <v>0</v>
      </c>
      <c r="K39" s="5">
        <f>ответы!AC23</f>
        <v>0</v>
      </c>
      <c r="L39" s="5">
        <f>ответы!AD23</f>
        <v>0</v>
      </c>
      <c r="M39" s="5">
        <f>ответы!AE23</f>
        <v>0</v>
      </c>
      <c r="N39" s="5">
        <f>ответы!AF23</f>
        <v>0</v>
      </c>
      <c r="O39" s="5">
        <f>ответы!AG23</f>
        <v>0</v>
      </c>
      <c r="P39" s="5">
        <f>ответы!AH23</f>
        <v>0</v>
      </c>
      <c r="Q39" s="5">
        <f>ответы!AI23</f>
        <v>0</v>
      </c>
      <c r="R39" s="5">
        <f>ответы!AJ23</f>
        <v>0</v>
      </c>
      <c r="S39" s="5">
        <f>ответы!AK23</f>
        <v>0</v>
      </c>
      <c r="T39" s="5">
        <f>ответы!AL23</f>
        <v>0</v>
      </c>
      <c r="U39" s="5">
        <f>ответы!AM23</f>
        <v>0</v>
      </c>
      <c r="V39" s="5">
        <f>ответы!AN23</f>
        <v>0</v>
      </c>
    </row>
    <row r="40" spans="1:24" x14ac:dyDescent="0.2">
      <c r="B40" s="75" t="s">
        <v>116</v>
      </c>
      <c r="C40" s="76"/>
      <c r="D40" s="76">
        <v>7</v>
      </c>
      <c r="E40" s="76">
        <v>6</v>
      </c>
      <c r="F40" s="76">
        <v>6</v>
      </c>
      <c r="G40" s="76">
        <v>5</v>
      </c>
      <c r="H40" s="76">
        <v>6</v>
      </c>
      <c r="I40" s="76">
        <v>6</v>
      </c>
      <c r="J40" s="76">
        <v>6</v>
      </c>
      <c r="K40" s="76">
        <v>6</v>
      </c>
      <c r="L40" s="76">
        <v>6</v>
      </c>
      <c r="M40" s="76">
        <v>6</v>
      </c>
      <c r="N40" s="77">
        <v>6</v>
      </c>
      <c r="O40" s="8"/>
      <c r="P40" s="8"/>
      <c r="Q40" s="8"/>
      <c r="R40" s="8"/>
      <c r="S40" s="8"/>
      <c r="T40" s="8"/>
      <c r="U40" s="8"/>
      <c r="V40" s="8"/>
    </row>
    <row r="41" spans="1:24" x14ac:dyDescent="0.2">
      <c r="B41" s="73" t="s">
        <v>215</v>
      </c>
      <c r="C41" s="5"/>
      <c r="D41" s="5"/>
      <c r="E41" s="5" t="str">
        <f>правила!D25</f>
        <v>0</v>
      </c>
      <c r="F41" s="5">
        <f>правила!E25</f>
        <v>0</v>
      </c>
      <c r="G41" s="5">
        <f>правила!F25</f>
        <v>0</v>
      </c>
      <c r="H41" s="5">
        <f>правила!G25</f>
        <v>1</v>
      </c>
      <c r="I41" s="5">
        <f>правила!H25</f>
        <v>2</v>
      </c>
      <c r="J41" s="5">
        <f>правила!I25</f>
        <v>2</v>
      </c>
      <c r="K41" s="5">
        <f>правила!J25</f>
        <v>1</v>
      </c>
      <c r="L41" s="5">
        <f>правила!K25</f>
        <v>1</v>
      </c>
      <c r="M41" s="5">
        <f>правила!L25</f>
        <v>1</v>
      </c>
      <c r="N41" s="5">
        <f>правила!M25</f>
        <v>0</v>
      </c>
    </row>
    <row r="42" spans="1:24" x14ac:dyDescent="0.2">
      <c r="B42" s="55"/>
    </row>
    <row r="43" spans="1:24" x14ac:dyDescent="0.2">
      <c r="B43" s="55"/>
    </row>
    <row r="44" spans="1:24" ht="13.5" thickBot="1" x14ac:dyDescent="0.25"/>
    <row r="45" spans="1:24" ht="13.5" thickBot="1" x14ac:dyDescent="0.25">
      <c r="A45" s="55" t="s">
        <v>115</v>
      </c>
      <c r="B45" s="56" t="s">
        <v>116</v>
      </c>
      <c r="C45" s="57"/>
      <c r="D45" s="57">
        <v>7</v>
      </c>
      <c r="E45" s="57">
        <v>6</v>
      </c>
      <c r="F45" s="57">
        <v>6</v>
      </c>
      <c r="G45" s="57">
        <v>5</v>
      </c>
      <c r="H45" s="57">
        <v>6</v>
      </c>
      <c r="I45" s="57">
        <v>6</v>
      </c>
      <c r="J45" s="57">
        <v>6</v>
      </c>
      <c r="K45" s="57">
        <v>6</v>
      </c>
      <c r="L45" s="57">
        <v>6</v>
      </c>
      <c r="M45" s="57">
        <v>6</v>
      </c>
      <c r="N45" s="58">
        <v>6</v>
      </c>
      <c r="X45" s="55"/>
    </row>
    <row r="46" spans="1:24" x14ac:dyDescent="0.2">
      <c r="A46" s="55" t="s">
        <v>117</v>
      </c>
      <c r="X46" s="55"/>
    </row>
    <row r="47" spans="1:24" x14ac:dyDescent="0.2">
      <c r="A47" s="55" t="s">
        <v>118</v>
      </c>
      <c r="C47" s="55"/>
      <c r="X47" s="55"/>
    </row>
    <row r="48" spans="1:24" x14ac:dyDescent="0.2">
      <c r="A48" s="55" t="s">
        <v>119</v>
      </c>
      <c r="X48" s="55"/>
    </row>
    <row r="49" spans="1:24" x14ac:dyDescent="0.2">
      <c r="A49" s="55" t="s">
        <v>120</v>
      </c>
      <c r="X49" s="55"/>
    </row>
    <row r="50" spans="1:24" x14ac:dyDescent="0.2">
      <c r="A50" s="55" t="s">
        <v>121</v>
      </c>
      <c r="X50" s="55"/>
    </row>
    <row r="51" spans="1:24" x14ac:dyDescent="0.2">
      <c r="A51" s="55" t="s">
        <v>122</v>
      </c>
    </row>
    <row r="52" spans="1:24" x14ac:dyDescent="0.2">
      <c r="A52" s="55" t="s">
        <v>123</v>
      </c>
    </row>
    <row r="53" spans="1:24" x14ac:dyDescent="0.2">
      <c r="B53" t="s">
        <v>124</v>
      </c>
    </row>
    <row r="54" spans="1:24" x14ac:dyDescent="0.2">
      <c r="B54" t="s">
        <v>67</v>
      </c>
    </row>
    <row r="55" spans="1:24" x14ac:dyDescent="0.2">
      <c r="B55" t="s">
        <v>125</v>
      </c>
    </row>
    <row r="56" spans="1:24" x14ac:dyDescent="0.2">
      <c r="B56" t="s">
        <v>126</v>
      </c>
    </row>
    <row r="57" spans="1:24" x14ac:dyDescent="0.2">
      <c r="B57" t="s">
        <v>127</v>
      </c>
    </row>
    <row r="58" spans="1:24" x14ac:dyDescent="0.2">
      <c r="B58" t="s">
        <v>128</v>
      </c>
    </row>
    <row r="59" spans="1:24" x14ac:dyDescent="0.2">
      <c r="B59" t="s">
        <v>129</v>
      </c>
    </row>
    <row r="60" spans="1:24" x14ac:dyDescent="0.2">
      <c r="B60" t="s">
        <v>130</v>
      </c>
    </row>
    <row r="61" spans="1:24" x14ac:dyDescent="0.2">
      <c r="B61" t="s">
        <v>131</v>
      </c>
    </row>
    <row r="62" spans="1:24" x14ac:dyDescent="0.2">
      <c r="A62" s="55" t="s">
        <v>132</v>
      </c>
    </row>
    <row r="63" spans="1:24" x14ac:dyDescent="0.2">
      <c r="A63" s="55" t="s">
        <v>133</v>
      </c>
    </row>
    <row r="64" spans="1:24" x14ac:dyDescent="0.2">
      <c r="A64" s="55" t="s">
        <v>134</v>
      </c>
    </row>
    <row r="65" spans="1:15" x14ac:dyDescent="0.2">
      <c r="A65" s="5" t="s">
        <v>135</v>
      </c>
      <c r="B65" s="5" t="s">
        <v>140</v>
      </c>
      <c r="C65" s="5" t="s">
        <v>145</v>
      </c>
      <c r="D65" s="5" t="s">
        <v>148</v>
      </c>
      <c r="E65" s="5" t="s">
        <v>151</v>
      </c>
      <c r="F65" s="5" t="s">
        <v>154</v>
      </c>
    </row>
    <row r="66" spans="1:15" x14ac:dyDescent="0.2">
      <c r="A66" s="5" t="s">
        <v>136</v>
      </c>
      <c r="B66" s="5" t="s">
        <v>141</v>
      </c>
      <c r="C66" s="5" t="s">
        <v>146</v>
      </c>
      <c r="D66" s="5" t="s">
        <v>149</v>
      </c>
      <c r="E66" s="5" t="s">
        <v>152</v>
      </c>
      <c r="F66" s="5" t="s">
        <v>155</v>
      </c>
    </row>
    <row r="67" spans="1:15" x14ac:dyDescent="0.2">
      <c r="A67" s="5" t="s">
        <v>137</v>
      </c>
      <c r="B67" s="5" t="s">
        <v>142</v>
      </c>
      <c r="C67" s="5" t="s">
        <v>147</v>
      </c>
      <c r="D67" s="5" t="s">
        <v>150</v>
      </c>
      <c r="E67" s="5" t="s">
        <v>153</v>
      </c>
      <c r="F67" s="5" t="s">
        <v>156</v>
      </c>
    </row>
    <row r="68" spans="1:15" x14ac:dyDescent="0.2">
      <c r="A68" s="5" t="s">
        <v>138</v>
      </c>
      <c r="B68" s="5" t="s">
        <v>143</v>
      </c>
      <c r="C68" s="5"/>
      <c r="D68" s="5"/>
      <c r="E68" s="5"/>
      <c r="F68" s="5"/>
    </row>
    <row r="69" spans="1:15" x14ac:dyDescent="0.2">
      <c r="A69" s="5" t="s">
        <v>139</v>
      </c>
      <c r="B69" s="5" t="s">
        <v>144</v>
      </c>
      <c r="C69" s="5"/>
      <c r="D69" s="5"/>
      <c r="E69" s="5"/>
      <c r="F69" s="5"/>
    </row>
    <row r="70" spans="1:15" x14ac:dyDescent="0.2">
      <c r="A70" s="5" t="s">
        <v>157</v>
      </c>
      <c r="B70" s="5" t="s">
        <v>158</v>
      </c>
      <c r="C70" s="5"/>
      <c r="D70" s="5"/>
      <c r="E70" s="5"/>
      <c r="F70" s="5"/>
    </row>
    <row r="71" spans="1:15" x14ac:dyDescent="0.2">
      <c r="A71" s="5"/>
      <c r="B71" s="5" t="s">
        <v>159</v>
      </c>
      <c r="C71" s="5"/>
      <c r="D71" s="5"/>
      <c r="E71" s="5"/>
      <c r="F71" s="5"/>
    </row>
    <row r="72" spans="1:15" x14ac:dyDescent="0.2">
      <c r="A72" s="55" t="s">
        <v>160</v>
      </c>
    </row>
    <row r="73" spans="1:15" x14ac:dyDescent="0.2">
      <c r="A73" s="55" t="s">
        <v>161</v>
      </c>
    </row>
    <row r="74" spans="1:15" x14ac:dyDescent="0.2">
      <c r="A74" s="55" t="s">
        <v>162</v>
      </c>
    </row>
    <row r="75" spans="1:15" x14ac:dyDescent="0.2">
      <c r="A75" s="55" t="s">
        <v>163</v>
      </c>
    </row>
    <row r="80" spans="1:15" x14ac:dyDescent="0.2">
      <c r="A80" s="520" t="s">
        <v>177</v>
      </c>
      <c r="B80" s="520"/>
      <c r="C80" s="572" t="s">
        <v>178</v>
      </c>
      <c r="D80" s="572"/>
      <c r="E80" s="572"/>
      <c r="F80" s="572"/>
      <c r="G80" s="572"/>
      <c r="H80" s="572"/>
      <c r="I80" s="572"/>
      <c r="J80" s="572"/>
      <c r="K80" s="572"/>
      <c r="L80" s="572"/>
      <c r="M80" s="572"/>
      <c r="N80" s="572"/>
      <c r="O80" s="572"/>
    </row>
    <row r="81" spans="1:15" x14ac:dyDescent="0.2">
      <c r="A81" s="572" t="s">
        <v>179</v>
      </c>
      <c r="B81" s="572"/>
      <c r="C81" s="572" t="s">
        <v>180</v>
      </c>
      <c r="D81" s="572"/>
      <c r="E81" s="572"/>
      <c r="F81" s="572"/>
      <c r="G81" s="572"/>
      <c r="H81" s="572"/>
      <c r="I81" s="572"/>
      <c r="J81" s="572"/>
      <c r="K81" s="572"/>
      <c r="L81" s="572"/>
      <c r="M81" s="572"/>
      <c r="N81" s="572"/>
      <c r="O81" s="572"/>
    </row>
    <row r="82" spans="1:15" x14ac:dyDescent="0.2">
      <c r="A82" s="572" t="s">
        <v>181</v>
      </c>
      <c r="B82" s="572"/>
      <c r="C82" s="572" t="s">
        <v>182</v>
      </c>
      <c r="D82" s="572"/>
      <c r="E82" s="572"/>
      <c r="F82" s="572"/>
      <c r="G82" s="572"/>
      <c r="H82" s="572"/>
      <c r="I82" s="572"/>
      <c r="J82" s="572"/>
      <c r="K82" s="572"/>
      <c r="L82" s="572"/>
      <c r="M82" s="572"/>
      <c r="N82" s="572"/>
      <c r="O82" s="572"/>
    </row>
    <row r="83" spans="1:15" x14ac:dyDescent="0.2">
      <c r="A83" s="572" t="s">
        <v>183</v>
      </c>
      <c r="B83" s="572"/>
      <c r="C83" s="572" t="s">
        <v>184</v>
      </c>
      <c r="D83" s="572"/>
      <c r="E83" s="572"/>
      <c r="F83" s="572"/>
      <c r="G83" s="572"/>
      <c r="H83" s="572"/>
      <c r="I83" s="572"/>
      <c r="J83" s="572"/>
      <c r="K83" s="572"/>
      <c r="L83" s="572"/>
      <c r="M83" s="572"/>
      <c r="N83" s="572"/>
      <c r="O83" s="572"/>
    </row>
    <row r="84" spans="1:15" x14ac:dyDescent="0.2">
      <c r="A84" s="572" t="s">
        <v>185</v>
      </c>
      <c r="B84" s="572"/>
      <c r="C84" s="572" t="s">
        <v>186</v>
      </c>
      <c r="D84" s="572"/>
      <c r="E84" s="572"/>
      <c r="F84" s="572"/>
      <c r="G84" s="572"/>
      <c r="H84" s="572"/>
      <c r="I84" s="572"/>
      <c r="J84" s="572"/>
      <c r="K84" s="572"/>
      <c r="L84" s="572"/>
      <c r="M84" s="572"/>
      <c r="N84" s="572"/>
      <c r="O84" s="572"/>
    </row>
    <row r="85" spans="1:15" x14ac:dyDescent="0.2">
      <c r="A85" s="572" t="s">
        <v>187</v>
      </c>
      <c r="B85" s="572"/>
      <c r="C85" s="572" t="s">
        <v>188</v>
      </c>
      <c r="D85" s="572"/>
      <c r="E85" s="572"/>
      <c r="F85" s="572"/>
      <c r="G85" s="572"/>
      <c r="H85" s="572"/>
      <c r="I85" s="572"/>
      <c r="J85" s="572"/>
      <c r="K85" s="572"/>
      <c r="L85" s="572"/>
      <c r="M85" s="572"/>
      <c r="N85" s="572"/>
      <c r="O85" s="572"/>
    </row>
    <row r="86" spans="1:15" x14ac:dyDescent="0.2">
      <c r="A86" s="572" t="s">
        <v>189</v>
      </c>
      <c r="B86" s="572"/>
      <c r="C86" s="572" t="s">
        <v>190</v>
      </c>
      <c r="D86" s="572"/>
      <c r="E86" s="572"/>
      <c r="F86" s="572"/>
      <c r="G86" s="572"/>
      <c r="H86" s="572"/>
      <c r="I86" s="572"/>
      <c r="J86" s="572"/>
      <c r="K86" s="572"/>
      <c r="L86" s="572"/>
      <c r="M86" s="572"/>
      <c r="N86" s="572"/>
      <c r="O86" s="572"/>
    </row>
    <row r="87" spans="1:15" x14ac:dyDescent="0.2">
      <c r="A87" s="572" t="s">
        <v>191</v>
      </c>
      <c r="B87" s="572"/>
      <c r="C87" s="572" t="s">
        <v>192</v>
      </c>
      <c r="D87" s="572"/>
      <c r="E87" s="572"/>
      <c r="F87" s="572"/>
      <c r="G87" s="572"/>
      <c r="H87" s="572"/>
      <c r="I87" s="572"/>
      <c r="J87" s="572"/>
      <c r="K87" s="572"/>
      <c r="L87" s="572"/>
      <c r="M87" s="572"/>
      <c r="N87" s="572"/>
      <c r="O87" s="572"/>
    </row>
    <row r="88" spans="1:15" x14ac:dyDescent="0.2">
      <c r="A88" s="6" t="s">
        <v>193</v>
      </c>
      <c r="B88" s="6"/>
      <c r="C88" s="572" t="s">
        <v>194</v>
      </c>
      <c r="D88" s="572"/>
      <c r="E88" s="572"/>
      <c r="F88" s="572"/>
      <c r="G88" s="572"/>
      <c r="H88" s="572"/>
      <c r="I88" s="572"/>
      <c r="J88" s="572"/>
      <c r="K88" s="572"/>
      <c r="L88" s="572"/>
      <c r="M88" s="572"/>
      <c r="N88" s="572"/>
      <c r="O88" s="572"/>
    </row>
    <row r="89" spans="1:15" x14ac:dyDescent="0.2">
      <c r="A89" s="572" t="s">
        <v>195</v>
      </c>
      <c r="B89" s="572"/>
    </row>
    <row r="90" spans="1:15" x14ac:dyDescent="0.2">
      <c r="A90" s="572" t="s">
        <v>196</v>
      </c>
      <c r="B90" s="572"/>
    </row>
    <row r="91" spans="1:15" x14ac:dyDescent="0.2">
      <c r="A91" s="572" t="s">
        <v>197</v>
      </c>
      <c r="B91" s="572"/>
    </row>
    <row r="93" spans="1:15" x14ac:dyDescent="0.2">
      <c r="A93" s="520" t="s">
        <v>198</v>
      </c>
      <c r="B93" s="520"/>
      <c r="C93" s="520"/>
      <c r="D93" s="520"/>
      <c r="E93" s="520"/>
      <c r="F93" s="520"/>
      <c r="G93" s="520"/>
    </row>
    <row r="94" spans="1:15" x14ac:dyDescent="0.2">
      <c r="A94" s="520" t="s">
        <v>199</v>
      </c>
      <c r="B94" s="520"/>
      <c r="C94" s="520"/>
      <c r="D94" s="520" t="s">
        <v>200</v>
      </c>
      <c r="E94" s="520"/>
      <c r="F94" s="520"/>
      <c r="G94" s="520"/>
      <c r="J94" s="55"/>
    </row>
    <row r="95" spans="1:15" x14ac:dyDescent="0.2">
      <c r="A95" s="572" t="s">
        <v>201</v>
      </c>
      <c r="B95" s="572"/>
      <c r="C95" s="572"/>
      <c r="D95" s="572" t="s">
        <v>205</v>
      </c>
      <c r="E95" s="572"/>
      <c r="F95" s="572"/>
      <c r="G95" s="572"/>
    </row>
    <row r="96" spans="1:15" x14ac:dyDescent="0.2">
      <c r="A96" s="572" t="s">
        <v>202</v>
      </c>
      <c r="B96" s="572"/>
      <c r="C96" s="572"/>
      <c r="D96" s="572" t="s">
        <v>206</v>
      </c>
      <c r="E96" s="572"/>
      <c r="F96" s="572"/>
      <c r="G96" s="572"/>
    </row>
    <row r="97" spans="1:7" x14ac:dyDescent="0.2">
      <c r="A97" s="572" t="s">
        <v>203</v>
      </c>
      <c r="B97" s="572"/>
      <c r="C97" s="572"/>
      <c r="D97" s="572" t="s">
        <v>207</v>
      </c>
      <c r="E97" s="572"/>
      <c r="F97" s="572"/>
      <c r="G97" s="572"/>
    </row>
    <row r="98" spans="1:7" x14ac:dyDescent="0.2">
      <c r="A98" s="572" t="s">
        <v>204</v>
      </c>
      <c r="B98" s="572"/>
      <c r="C98" s="572"/>
      <c r="D98" s="572" t="s">
        <v>208</v>
      </c>
      <c r="E98" s="572"/>
      <c r="F98" s="572"/>
      <c r="G98" s="572"/>
    </row>
  </sheetData>
  <mergeCells count="31">
    <mergeCell ref="A80:B80"/>
    <mergeCell ref="C80:O80"/>
    <mergeCell ref="A81:B81"/>
    <mergeCell ref="A82:B82"/>
    <mergeCell ref="C81:O81"/>
    <mergeCell ref="C82:O82"/>
    <mergeCell ref="A83:B83"/>
    <mergeCell ref="C83:O83"/>
    <mergeCell ref="A84:B84"/>
    <mergeCell ref="C84:O84"/>
    <mergeCell ref="A85:B85"/>
    <mergeCell ref="C85:O85"/>
    <mergeCell ref="A89:B89"/>
    <mergeCell ref="A90:B90"/>
    <mergeCell ref="A91:B91"/>
    <mergeCell ref="A94:C94"/>
    <mergeCell ref="A86:B86"/>
    <mergeCell ref="C86:O86"/>
    <mergeCell ref="A87:B87"/>
    <mergeCell ref="C87:O87"/>
    <mergeCell ref="C88:O88"/>
    <mergeCell ref="D94:G94"/>
    <mergeCell ref="A93:G93"/>
    <mergeCell ref="A98:C98"/>
    <mergeCell ref="D98:G98"/>
    <mergeCell ref="D97:G97"/>
    <mergeCell ref="D96:G96"/>
    <mergeCell ref="D95:G95"/>
    <mergeCell ref="A95:C95"/>
    <mergeCell ref="A96:C96"/>
    <mergeCell ref="A97:C97"/>
  </mergeCells>
  <pageMargins left="0.25" right="0.25"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Z60"/>
  <sheetViews>
    <sheetView workbookViewId="0">
      <selection activeCell="L47" sqref="L47"/>
    </sheetView>
  </sheetViews>
  <sheetFormatPr defaultRowHeight="12.75" x14ac:dyDescent="0.2"/>
  <cols>
    <col min="15" max="15" width="9.140625" style="38"/>
  </cols>
  <sheetData>
    <row r="4" spans="1:21" ht="15" x14ac:dyDescent="0.2">
      <c r="B4" s="44" t="s">
        <v>96</v>
      </c>
      <c r="C4" s="35" t="s">
        <v>12</v>
      </c>
      <c r="D4" s="35" t="s">
        <v>3</v>
      </c>
      <c r="E4" s="35" t="s">
        <v>15</v>
      </c>
      <c r="F4" s="35" t="s">
        <v>0</v>
      </c>
      <c r="G4" s="35" t="s">
        <v>19</v>
      </c>
      <c r="H4" s="35" t="s">
        <v>4</v>
      </c>
      <c r="I4" s="35" t="s">
        <v>17</v>
      </c>
      <c r="J4" s="35" t="s">
        <v>18</v>
      </c>
      <c r="K4" s="35" t="s">
        <v>20</v>
      </c>
      <c r="L4" s="35" t="s">
        <v>16</v>
      </c>
      <c r="M4" s="35" t="s">
        <v>29</v>
      </c>
      <c r="N4" s="35" t="s">
        <v>14</v>
      </c>
      <c r="O4" s="35" t="s">
        <v>30</v>
      </c>
      <c r="P4" s="35" t="s">
        <v>31</v>
      </c>
      <c r="Q4" s="35" t="s">
        <v>32</v>
      </c>
      <c r="R4" s="35" t="s">
        <v>33</v>
      </c>
      <c r="S4" s="35" t="s">
        <v>2</v>
      </c>
      <c r="T4" s="35" t="s">
        <v>34</v>
      </c>
      <c r="U4" s="35" t="s">
        <v>35</v>
      </c>
    </row>
    <row r="5" spans="1:21" ht="13.5" thickBot="1" x14ac:dyDescent="0.25">
      <c r="B5">
        <f>ответы!U23</f>
        <v>0</v>
      </c>
      <c r="C5">
        <f>ответы!V23</f>
        <v>0</v>
      </c>
      <c r="D5">
        <f>ответы!W23</f>
        <v>0</v>
      </c>
      <c r="E5">
        <f>ответы!X23</f>
        <v>0</v>
      </c>
      <c r="F5">
        <f>ответы!Y23</f>
        <v>0</v>
      </c>
      <c r="G5">
        <f>ответы!Z23</f>
        <v>0</v>
      </c>
      <c r="H5">
        <f>ответы!AA23</f>
        <v>0</v>
      </c>
      <c r="I5">
        <f>ответы!AB23</f>
        <v>0</v>
      </c>
      <c r="J5">
        <f>ответы!AC23</f>
        <v>0</v>
      </c>
      <c r="K5">
        <f>ответы!AD23</f>
        <v>0</v>
      </c>
      <c r="L5">
        <f>ответы!AE23</f>
        <v>0</v>
      </c>
      <c r="M5">
        <f>ответы!AF23</f>
        <v>0</v>
      </c>
      <c r="N5">
        <f>ответы!AG23</f>
        <v>0</v>
      </c>
      <c r="O5" s="38">
        <f>ответы!AH23</f>
        <v>0</v>
      </c>
      <c r="P5">
        <f>ответы!AI23</f>
        <v>0</v>
      </c>
      <c r="Q5">
        <f>ответы!AJ23</f>
        <v>0</v>
      </c>
      <c r="R5">
        <f>ответы!AK23</f>
        <v>0</v>
      </c>
      <c r="S5">
        <f>ответы!AL23</f>
        <v>0</v>
      </c>
      <c r="T5">
        <f>ответы!AM23</f>
        <v>0</v>
      </c>
      <c r="U5">
        <f>ответы!AN23</f>
        <v>0</v>
      </c>
    </row>
    <row r="6" spans="1:21" ht="13.5" thickBot="1" x14ac:dyDescent="0.25">
      <c r="A6" s="56" t="s">
        <v>116</v>
      </c>
      <c r="B6" s="57"/>
      <c r="C6" s="57">
        <v>7</v>
      </c>
      <c r="D6" s="57">
        <v>6</v>
      </c>
      <c r="E6" s="57">
        <v>6</v>
      </c>
      <c r="F6" s="57">
        <v>5</v>
      </c>
      <c r="G6" s="57">
        <v>6</v>
      </c>
      <c r="H6" s="57">
        <v>6</v>
      </c>
      <c r="I6" s="57">
        <v>6</v>
      </c>
      <c r="J6" s="57">
        <v>6</v>
      </c>
      <c r="K6" s="57">
        <v>6</v>
      </c>
      <c r="L6" s="57">
        <v>6</v>
      </c>
      <c r="M6" s="58">
        <v>6</v>
      </c>
    </row>
    <row r="18" spans="1:26" x14ac:dyDescent="0.2">
      <c r="V18" s="127" t="s">
        <v>212</v>
      </c>
      <c r="W18" s="69" t="s">
        <v>214</v>
      </c>
      <c r="X18" s="587" t="s">
        <v>216</v>
      </c>
      <c r="Z18" t="str">
        <f>_xlfn.IFS(X20=1,"1",X20=2,"2",X20&gt;2,"2")</f>
        <v>1</v>
      </c>
    </row>
    <row r="19" spans="1:26" x14ac:dyDescent="0.2">
      <c r="A19" s="8"/>
      <c r="B19" s="8"/>
      <c r="C19" s="8"/>
      <c r="D19" s="8"/>
      <c r="E19" s="8"/>
      <c r="F19" s="8"/>
      <c r="G19" s="8"/>
      <c r="H19" s="8"/>
      <c r="I19" s="8"/>
      <c r="J19" s="8"/>
      <c r="K19" s="8"/>
      <c r="L19" s="8"/>
      <c r="M19" s="8"/>
      <c r="N19" s="8"/>
      <c r="O19" s="66"/>
      <c r="P19" s="8"/>
      <c r="Q19" s="8"/>
      <c r="R19" s="8"/>
      <c r="S19" s="8"/>
      <c r="T19" s="8"/>
      <c r="U19" s="8"/>
      <c r="V19" s="126">
        <v>1</v>
      </c>
      <c r="W19" s="70">
        <v>2</v>
      </c>
      <c r="X19" s="587"/>
    </row>
    <row r="20" spans="1:26" x14ac:dyDescent="0.2">
      <c r="A20" s="66"/>
      <c r="B20" s="66"/>
      <c r="C20" s="66"/>
      <c r="D20" s="66"/>
      <c r="E20" s="66"/>
      <c r="F20" s="66"/>
      <c r="G20" s="66"/>
      <c r="H20" s="66"/>
      <c r="I20" s="66"/>
      <c r="J20" s="66"/>
      <c r="K20" s="66"/>
      <c r="L20" s="66"/>
      <c r="M20" s="66"/>
      <c r="N20" s="66"/>
      <c r="O20" s="66"/>
      <c r="P20" s="66"/>
      <c r="Q20" s="66"/>
      <c r="R20" s="66"/>
      <c r="S20" s="66"/>
      <c r="T20" s="66"/>
      <c r="U20" s="66"/>
      <c r="V20" s="131">
        <f>ответы!C31</f>
        <v>1</v>
      </c>
      <c r="W20" s="5"/>
      <c r="X20">
        <f>ответы!J32</f>
        <v>1</v>
      </c>
    </row>
    <row r="21" spans="1:26" x14ac:dyDescent="0.2">
      <c r="A21" s="133"/>
      <c r="B21" s="66"/>
      <c r="C21" s="66"/>
      <c r="D21" s="66"/>
      <c r="E21" s="66"/>
      <c r="F21" s="66"/>
      <c r="G21" s="66"/>
      <c r="H21" s="66"/>
      <c r="I21" s="66"/>
      <c r="J21" s="66"/>
      <c r="K21" s="66"/>
      <c r="L21" s="66"/>
      <c r="M21" s="66"/>
      <c r="N21" s="66"/>
      <c r="O21" s="66"/>
      <c r="P21" s="66"/>
      <c r="Q21" s="66"/>
      <c r="R21" s="66"/>
      <c r="S21" s="66"/>
      <c r="T21" s="66"/>
      <c r="U21" s="66"/>
      <c r="V21" s="8"/>
    </row>
    <row r="22" spans="1:26" x14ac:dyDescent="0.2">
      <c r="A22" s="66"/>
      <c r="B22" s="66"/>
      <c r="C22" s="66"/>
      <c r="D22" s="66"/>
      <c r="E22" s="66"/>
      <c r="F22" s="66"/>
      <c r="G22" s="66"/>
      <c r="H22" s="66"/>
      <c r="I22" s="66"/>
      <c r="J22" s="66"/>
      <c r="K22" s="66"/>
      <c r="L22" s="66"/>
      <c r="M22" s="66"/>
      <c r="N22" s="66"/>
      <c r="O22" s="66"/>
      <c r="P22" s="66"/>
      <c r="Q22" s="66"/>
      <c r="R22" s="66"/>
      <c r="S22" s="66"/>
      <c r="T22" s="66"/>
      <c r="U22" s="66"/>
      <c r="V22" s="8"/>
    </row>
    <row r="23" spans="1:26" x14ac:dyDescent="0.2">
      <c r="A23" s="66"/>
      <c r="B23" s="66"/>
      <c r="C23" s="66"/>
      <c r="D23" s="66"/>
      <c r="E23" s="66"/>
      <c r="F23" s="66"/>
      <c r="G23" s="66"/>
      <c r="H23" s="66"/>
      <c r="I23" s="66"/>
      <c r="J23" s="66"/>
      <c r="K23" s="66"/>
      <c r="L23" s="66"/>
      <c r="M23" s="66"/>
      <c r="N23" s="66"/>
      <c r="O23" s="66"/>
      <c r="P23" s="66"/>
      <c r="Q23" s="66"/>
      <c r="R23" s="66"/>
      <c r="S23" s="66"/>
      <c r="T23" s="66"/>
      <c r="U23" s="66"/>
      <c r="V23" s="8"/>
    </row>
    <row r="24" spans="1:26" x14ac:dyDescent="0.2">
      <c r="A24" s="66"/>
      <c r="B24" s="66"/>
      <c r="C24" s="66"/>
      <c r="D24" s="66"/>
      <c r="E24" s="66"/>
      <c r="F24" s="66"/>
      <c r="G24" s="66"/>
      <c r="H24" s="66"/>
      <c r="I24" s="66"/>
      <c r="J24" s="66"/>
      <c r="K24" s="66"/>
      <c r="L24" s="66"/>
      <c r="M24" s="66"/>
      <c r="N24" s="66"/>
      <c r="O24" s="66"/>
      <c r="P24" s="66"/>
      <c r="Q24" s="66"/>
      <c r="R24" s="66"/>
      <c r="S24" s="66"/>
      <c r="T24" s="66"/>
      <c r="U24" s="66"/>
      <c r="V24" s="8"/>
    </row>
    <row r="25" spans="1:26" x14ac:dyDescent="0.2">
      <c r="A25" s="132" t="s">
        <v>252</v>
      </c>
      <c r="B25" s="5"/>
      <c r="C25" s="5"/>
      <c r="D25" s="71" t="str">
        <f>D27</f>
        <v>0</v>
      </c>
      <c r="E25" s="71">
        <f>E27+E28</f>
        <v>0</v>
      </c>
      <c r="F25" s="5"/>
      <c r="G25" s="71">
        <f>G27+G28+G29+G30</f>
        <v>1</v>
      </c>
      <c r="H25" s="130">
        <f>H27+H28+H29</f>
        <v>2</v>
      </c>
      <c r="I25" s="71">
        <f>I27+I28+I29+I30+I31</f>
        <v>2</v>
      </c>
      <c r="J25" s="71">
        <f>J27+J28+J29+J30</f>
        <v>1</v>
      </c>
      <c r="K25" s="71">
        <f>K27+K28+K29+K30</f>
        <v>1</v>
      </c>
      <c r="L25" s="71">
        <f>L27+L28</f>
        <v>1</v>
      </c>
      <c r="M25" s="5"/>
      <c r="N25" s="5"/>
      <c r="O25" s="125"/>
      <c r="P25" s="5"/>
      <c r="Q25" s="5"/>
      <c r="R25" s="5"/>
      <c r="S25" s="5"/>
      <c r="T25" s="5"/>
      <c r="U25" s="5"/>
    </row>
    <row r="26" spans="1:26" ht="15" x14ac:dyDescent="0.2">
      <c r="B26" s="44" t="s">
        <v>96</v>
      </c>
      <c r="C26" s="35" t="s">
        <v>12</v>
      </c>
      <c r="D26" s="35" t="s">
        <v>3</v>
      </c>
      <c r="E26" s="35" t="s">
        <v>15</v>
      </c>
      <c r="F26" s="35" t="s">
        <v>0</v>
      </c>
      <c r="G26" s="35" t="s">
        <v>19</v>
      </c>
      <c r="H26" s="35" t="s">
        <v>4</v>
      </c>
      <c r="I26" s="35" t="s">
        <v>17</v>
      </c>
      <c r="J26" s="35" t="s">
        <v>18</v>
      </c>
      <c r="K26" s="35" t="s">
        <v>20</v>
      </c>
      <c r="L26" s="35" t="s">
        <v>16</v>
      </c>
      <c r="M26" s="35" t="s">
        <v>29</v>
      </c>
      <c r="N26" s="35" t="s">
        <v>14</v>
      </c>
      <c r="O26" s="35" t="s">
        <v>30</v>
      </c>
      <c r="P26" s="35" t="s">
        <v>31</v>
      </c>
      <c r="Q26" s="35" t="s">
        <v>32</v>
      </c>
      <c r="R26" s="35" t="s">
        <v>33</v>
      </c>
      <c r="S26" s="35" t="s">
        <v>2</v>
      </c>
      <c r="T26" s="35" t="s">
        <v>34</v>
      </c>
      <c r="U26" s="35" t="s">
        <v>35</v>
      </c>
    </row>
    <row r="27" spans="1:26" x14ac:dyDescent="0.2">
      <c r="D27" s="71" t="str">
        <f>P47</f>
        <v>0</v>
      </c>
      <c r="E27" s="71" t="str">
        <f>O40</f>
        <v>0</v>
      </c>
      <c r="F27" s="5"/>
      <c r="G27" s="71" t="str">
        <f>P39</f>
        <v>1</v>
      </c>
      <c r="H27" s="71" t="str">
        <f>O39</f>
        <v>1</v>
      </c>
      <c r="I27" s="71" t="str">
        <f>O44</f>
        <v>2</v>
      </c>
      <c r="J27" s="71" t="str">
        <f>O48</f>
        <v>0</v>
      </c>
      <c r="K27" s="71" t="str">
        <f>P44</f>
        <v>1</v>
      </c>
      <c r="L27" s="71" t="str">
        <f>O42</f>
        <v>1</v>
      </c>
    </row>
    <row r="28" spans="1:26" x14ac:dyDescent="0.2">
      <c r="D28" s="5"/>
      <c r="E28" s="71" t="str">
        <f>O41</f>
        <v>0</v>
      </c>
      <c r="F28" s="5"/>
      <c r="G28" s="71" t="str">
        <f>O52</f>
        <v>0</v>
      </c>
      <c r="H28" s="71" t="str">
        <f>O43</f>
        <v>1</v>
      </c>
      <c r="I28" s="71" t="str">
        <f>O45</f>
        <v>0</v>
      </c>
      <c r="J28" s="71" t="str">
        <f>O49</f>
        <v>0</v>
      </c>
      <c r="K28" s="71" t="str">
        <f>P50</f>
        <v>0</v>
      </c>
      <c r="L28" s="71" t="str">
        <f>O46</f>
        <v>0</v>
      </c>
    </row>
    <row r="29" spans="1:26" ht="15.75" x14ac:dyDescent="0.25">
      <c r="D29" s="5"/>
      <c r="E29" s="5"/>
      <c r="F29" s="5"/>
      <c r="G29" s="71" t="str">
        <f>O53</f>
        <v>0</v>
      </c>
      <c r="H29" s="71" t="str">
        <f>O47</f>
        <v>0</v>
      </c>
      <c r="I29" s="71" t="str">
        <f>O50</f>
        <v>0</v>
      </c>
      <c r="J29" s="71" t="str">
        <f>O57</f>
        <v>1</v>
      </c>
      <c r="K29" s="71" t="str">
        <f>Q53</f>
        <v>0</v>
      </c>
      <c r="L29" s="5"/>
      <c r="W29" s="83" t="s">
        <v>258</v>
      </c>
    </row>
    <row r="30" spans="1:26" x14ac:dyDescent="0.2">
      <c r="D30" s="5"/>
      <c r="E30" s="5"/>
      <c r="F30" s="5"/>
      <c r="G30" s="71" t="str">
        <f>O54</f>
        <v>0</v>
      </c>
      <c r="H30" s="5"/>
      <c r="I30" s="71" t="str">
        <f>O51</f>
        <v>0</v>
      </c>
      <c r="J30" s="71" t="str">
        <f>O58</f>
        <v>0</v>
      </c>
      <c r="K30" s="71" t="str">
        <f>O55</f>
        <v>0</v>
      </c>
      <c r="L30" s="5"/>
    </row>
    <row r="31" spans="1:26" x14ac:dyDescent="0.2">
      <c r="D31" s="5"/>
      <c r="E31" s="5"/>
      <c r="F31" s="5"/>
      <c r="G31" s="5"/>
      <c r="H31" s="5"/>
      <c r="I31" s="71" t="str">
        <f>P53</f>
        <v>0</v>
      </c>
      <c r="J31" s="5"/>
      <c r="K31" s="5"/>
      <c r="L31" s="5"/>
    </row>
    <row r="38" spans="1:19" ht="15" customHeight="1" x14ac:dyDescent="0.2">
      <c r="A38" s="588" t="s">
        <v>269</v>
      </c>
      <c r="B38" s="588"/>
      <c r="C38" s="588"/>
      <c r="D38" s="588"/>
      <c r="E38" s="588"/>
      <c r="F38" s="588" t="s">
        <v>270</v>
      </c>
      <c r="G38" s="588"/>
      <c r="H38" s="588"/>
      <c r="I38" s="35"/>
      <c r="K38" s="84" t="s">
        <v>300</v>
      </c>
      <c r="N38" s="84" t="s">
        <v>301</v>
      </c>
    </row>
    <row r="39" spans="1:19" s="38" customFormat="1" ht="15" customHeight="1" x14ac:dyDescent="0.2">
      <c r="A39" s="586" t="s">
        <v>271</v>
      </c>
      <c r="B39" s="586"/>
      <c r="C39" s="586"/>
      <c r="D39" s="586"/>
      <c r="E39" s="586"/>
      <c r="F39" s="586" t="s">
        <v>272</v>
      </c>
      <c r="G39" s="586"/>
      <c r="H39" s="586"/>
      <c r="I39" s="34" t="s">
        <v>12</v>
      </c>
      <c r="J39" s="66"/>
      <c r="K39" s="125">
        <f>C5</f>
        <v>0</v>
      </c>
      <c r="N39" s="125" t="str">
        <f>_xlfn.IFS(K39=0,"ПС",K39=1,"ПС",K39&gt;1,"0")</f>
        <v>ПС</v>
      </c>
      <c r="O39" s="71" t="str">
        <f>IF(N39="ПС","1","0")</f>
        <v>1</v>
      </c>
      <c r="P39" s="71" t="str">
        <f>IF(N39="ПС","1","0")</f>
        <v>1</v>
      </c>
      <c r="Q39" s="36" t="s">
        <v>4</v>
      </c>
      <c r="R39" s="36" t="s">
        <v>19</v>
      </c>
    </row>
    <row r="40" spans="1:19" s="38" customFormat="1" ht="15" customHeight="1" x14ac:dyDescent="0.2">
      <c r="A40" s="586" t="s">
        <v>273</v>
      </c>
      <c r="B40" s="586"/>
      <c r="C40" s="586"/>
      <c r="D40" s="586"/>
      <c r="E40" s="586"/>
      <c r="F40" s="586" t="s">
        <v>15</v>
      </c>
      <c r="G40" s="586"/>
      <c r="H40" s="586"/>
      <c r="I40" s="34" t="s">
        <v>3</v>
      </c>
      <c r="J40" s="66"/>
      <c r="K40" s="125">
        <f>D5</f>
        <v>0</v>
      </c>
      <c r="N40" s="125" t="str">
        <f>IF(K40&gt;5,"Л","0")</f>
        <v>0</v>
      </c>
      <c r="O40" s="71" t="str">
        <f>IF(N40="Л","1","0")</f>
        <v>0</v>
      </c>
      <c r="P40" s="36" t="s">
        <v>15</v>
      </c>
    </row>
    <row r="41" spans="1:19" ht="15" customHeight="1" x14ac:dyDescent="0.2">
      <c r="A41" s="585" t="s">
        <v>274</v>
      </c>
      <c r="B41" s="585"/>
      <c r="C41" s="585"/>
      <c r="D41" s="585"/>
      <c r="E41" s="585"/>
      <c r="F41" s="585" t="s">
        <v>15</v>
      </c>
      <c r="G41" s="585"/>
      <c r="H41" s="585"/>
      <c r="I41" s="35" t="s">
        <v>0</v>
      </c>
      <c r="J41" s="8"/>
      <c r="K41" s="5">
        <f>F5</f>
        <v>0</v>
      </c>
      <c r="N41" s="5" t="str">
        <f>IF(K41&gt;3,"Л","0")</f>
        <v>0</v>
      </c>
      <c r="O41" s="71" t="str">
        <f>IF(N41="Л","1","0")</f>
        <v>0</v>
      </c>
      <c r="P41" s="36" t="s">
        <v>15</v>
      </c>
    </row>
    <row r="42" spans="1:19" ht="15" customHeight="1" x14ac:dyDescent="0.2">
      <c r="A42" s="585" t="s">
        <v>275</v>
      </c>
      <c r="B42" s="585"/>
      <c r="C42" s="585"/>
      <c r="D42" s="585"/>
      <c r="E42" s="585"/>
      <c r="F42" s="585" t="s">
        <v>16</v>
      </c>
      <c r="G42" s="585"/>
      <c r="H42" s="585"/>
      <c r="I42" s="35" t="s">
        <v>4</v>
      </c>
      <c r="J42" s="8"/>
      <c r="K42" s="5">
        <f>H5</f>
        <v>0</v>
      </c>
      <c r="N42" s="5" t="str">
        <f>_xlfn.IFS(K42=0,"Н",K42=1,"Н",K42&gt;1,"0")</f>
        <v>Н</v>
      </c>
      <c r="O42" s="71" t="str">
        <f>IF(N42="Н","1","0")</f>
        <v>1</v>
      </c>
      <c r="P42" s="36" t="s">
        <v>16</v>
      </c>
    </row>
    <row r="43" spans="1:19" s="38" customFormat="1" ht="15" customHeight="1" x14ac:dyDescent="0.2">
      <c r="A43" s="586" t="s">
        <v>276</v>
      </c>
      <c r="B43" s="586"/>
      <c r="C43" s="586"/>
      <c r="D43" s="586"/>
      <c r="E43" s="586"/>
      <c r="F43" s="586" t="s">
        <v>4</v>
      </c>
      <c r="G43" s="586"/>
      <c r="H43" s="586"/>
      <c r="I43" s="34" t="s">
        <v>16</v>
      </c>
      <c r="J43" s="66"/>
      <c r="K43" s="125">
        <f>L5</f>
        <v>0</v>
      </c>
      <c r="N43" s="125" t="str">
        <f>_xlfn.IFS(K43=0,"П",K43=1,"П",K43&gt;1,"0")</f>
        <v>П</v>
      </c>
      <c r="O43" s="72" t="str">
        <f>IF(N43="П","1","0")</f>
        <v>1</v>
      </c>
      <c r="P43" s="36" t="s">
        <v>4</v>
      </c>
    </row>
    <row r="44" spans="1:19" ht="15" customHeight="1" x14ac:dyDescent="0.2">
      <c r="A44" s="585" t="s">
        <v>277</v>
      </c>
      <c r="B44" s="585"/>
      <c r="C44" s="585"/>
      <c r="D44" s="585"/>
      <c r="E44" s="585"/>
      <c r="F44" s="585" t="s">
        <v>278</v>
      </c>
      <c r="G44" s="585"/>
      <c r="H44" s="585"/>
      <c r="I44" s="35" t="s">
        <v>29</v>
      </c>
      <c r="J44" s="8"/>
      <c r="K44" s="5">
        <f>M5</f>
        <v>0</v>
      </c>
      <c r="N44" s="5" t="str">
        <f>IF(K44=0,"ШШИ","0")</f>
        <v>ШШИ</v>
      </c>
      <c r="O44" s="71" t="str">
        <f>IF(N44="ШШИ","2","0")</f>
        <v>2</v>
      </c>
      <c r="P44" s="71" t="str">
        <f>IF(N44="ШШИ","1","0")</f>
        <v>1</v>
      </c>
      <c r="Q44" s="36" t="s">
        <v>302</v>
      </c>
      <c r="R44" s="36" t="s">
        <v>20</v>
      </c>
    </row>
    <row r="45" spans="1:19" ht="15" customHeight="1" x14ac:dyDescent="0.2">
      <c r="A45" s="585" t="s">
        <v>279</v>
      </c>
      <c r="B45" s="585"/>
      <c r="C45" s="585"/>
      <c r="D45" s="585"/>
      <c r="E45" s="585"/>
      <c r="F45" s="585" t="s">
        <v>17</v>
      </c>
      <c r="G45" s="585"/>
      <c r="H45" s="585"/>
      <c r="I45" s="35" t="s">
        <v>29</v>
      </c>
      <c r="J45" s="8"/>
      <c r="K45" s="5">
        <f>M5</f>
        <v>0</v>
      </c>
      <c r="N45" s="5" t="str">
        <f>IF(K45=1,"Ш","0")</f>
        <v>0</v>
      </c>
      <c r="O45" s="71" t="str">
        <f>IF(N45="Ш","1","0")</f>
        <v>0</v>
      </c>
      <c r="P45" s="36" t="s">
        <v>17</v>
      </c>
    </row>
    <row r="46" spans="1:19" ht="15" customHeight="1" x14ac:dyDescent="0.2">
      <c r="A46" s="585" t="s">
        <v>280</v>
      </c>
      <c r="B46" s="585"/>
      <c r="C46" s="585"/>
      <c r="D46" s="585"/>
      <c r="E46" s="585"/>
      <c r="F46" s="585" t="s">
        <v>16</v>
      </c>
      <c r="G46" s="585"/>
      <c r="H46" s="585"/>
      <c r="I46" s="35" t="s">
        <v>30</v>
      </c>
      <c r="J46" s="8"/>
      <c r="K46" s="5">
        <f>O5</f>
        <v>0</v>
      </c>
      <c r="N46" s="5" t="str">
        <f>IF(K46&gt;5,"Н","0")</f>
        <v>0</v>
      </c>
      <c r="O46" s="71" t="str">
        <f>IF(N46="Н","1","0")</f>
        <v>0</v>
      </c>
      <c r="P46" s="36" t="s">
        <v>16</v>
      </c>
    </row>
    <row r="47" spans="1:19" ht="15" customHeight="1" x14ac:dyDescent="0.2">
      <c r="A47" s="585" t="s">
        <v>281</v>
      </c>
      <c r="B47" s="585"/>
      <c r="C47" s="585"/>
      <c r="D47" s="585"/>
      <c r="E47" s="585"/>
      <c r="F47" s="585" t="s">
        <v>282</v>
      </c>
      <c r="G47" s="585"/>
      <c r="H47" s="585"/>
      <c r="I47" s="35" t="s">
        <v>31</v>
      </c>
      <c r="J47" s="124" t="s">
        <v>30</v>
      </c>
      <c r="K47" s="5">
        <f>P5</f>
        <v>0</v>
      </c>
      <c r="L47" s="5">
        <f>O5</f>
        <v>0</v>
      </c>
      <c r="N47" s="5" t="str">
        <f>IF(K47&gt;L47,"ППЦ","0")</f>
        <v>0</v>
      </c>
      <c r="O47" s="71" t="str">
        <f>IF(N47="ППЦ","2","0")</f>
        <v>0</v>
      </c>
      <c r="P47" s="71" t="str">
        <f>IF(N47="ППЦ","1","0")</f>
        <v>0</v>
      </c>
      <c r="Q47" s="36" t="s">
        <v>303</v>
      </c>
      <c r="R47" s="40" t="s">
        <v>3</v>
      </c>
      <c r="S47" s="129"/>
    </row>
    <row r="48" spans="1:19" ht="15" customHeight="1" x14ac:dyDescent="0.2">
      <c r="A48" s="585" t="s">
        <v>283</v>
      </c>
      <c r="B48" s="585"/>
      <c r="C48" s="585"/>
      <c r="D48" s="585"/>
      <c r="E48" s="585"/>
      <c r="F48" s="585" t="s">
        <v>18</v>
      </c>
      <c r="G48" s="585"/>
      <c r="H48" s="585"/>
      <c r="I48" s="35" t="s">
        <v>32</v>
      </c>
      <c r="J48" s="8"/>
      <c r="K48" s="5">
        <f>Q5</f>
        <v>0</v>
      </c>
      <c r="N48" s="5" t="str">
        <f>IF(K48=5,"Э","0")</f>
        <v>0</v>
      </c>
      <c r="O48" s="71" t="str">
        <f>IF(N48="Э","1","0")</f>
        <v>0</v>
      </c>
      <c r="P48" s="36" t="s">
        <v>18</v>
      </c>
    </row>
    <row r="49" spans="1:20" ht="15" customHeight="1" x14ac:dyDescent="0.2">
      <c r="A49" s="585" t="s">
        <v>284</v>
      </c>
      <c r="B49" s="585"/>
      <c r="C49" s="585"/>
      <c r="D49" s="585"/>
      <c r="E49" s="585"/>
      <c r="F49" s="585" t="s">
        <v>285</v>
      </c>
      <c r="G49" s="585"/>
      <c r="H49" s="585"/>
      <c r="I49" s="35" t="s">
        <v>32</v>
      </c>
      <c r="J49" s="8"/>
      <c r="K49" s="5">
        <f>Q5</f>
        <v>0</v>
      </c>
      <c r="N49" s="5" t="str">
        <f>IF(K49&gt;5,"ЭЭ","0")</f>
        <v>0</v>
      </c>
      <c r="O49" s="72" t="str">
        <f>IF(N49="ЭЭ","2","0")</f>
        <v>0</v>
      </c>
      <c r="P49" s="36" t="s">
        <v>304</v>
      </c>
    </row>
    <row r="50" spans="1:20" ht="15" customHeight="1" x14ac:dyDescent="0.2">
      <c r="A50" s="585" t="s">
        <v>286</v>
      </c>
      <c r="B50" s="585"/>
      <c r="C50" s="585"/>
      <c r="D50" s="585"/>
      <c r="E50" s="585"/>
      <c r="F50" s="585" t="s">
        <v>287</v>
      </c>
      <c r="G50" s="585"/>
      <c r="H50" s="585"/>
      <c r="I50" s="35" t="s">
        <v>33</v>
      </c>
      <c r="J50" s="8"/>
      <c r="K50" s="5">
        <f>R5</f>
        <v>0</v>
      </c>
      <c r="N50" s="5" t="str">
        <f>IF(K50&gt;5,"ШИ","0")</f>
        <v>0</v>
      </c>
      <c r="O50" s="71" t="str">
        <f>IF(N50="ШИ","1","0")</f>
        <v>0</v>
      </c>
      <c r="P50" s="71" t="str">
        <f>IF(N50="ШИ","1","0")</f>
        <v>0</v>
      </c>
      <c r="Q50" s="36" t="s">
        <v>17</v>
      </c>
      <c r="R50" s="36" t="s">
        <v>20</v>
      </c>
    </row>
    <row r="51" spans="1:20" ht="15" customHeight="1" x14ac:dyDescent="0.2">
      <c r="A51" s="585" t="s">
        <v>288</v>
      </c>
      <c r="B51" s="585"/>
      <c r="C51" s="585"/>
      <c r="D51" s="585"/>
      <c r="E51" s="585"/>
      <c r="F51" s="585" t="s">
        <v>17</v>
      </c>
      <c r="G51" s="585"/>
      <c r="H51" s="585"/>
      <c r="I51" s="35" t="s">
        <v>2</v>
      </c>
      <c r="J51" s="8"/>
      <c r="K51" s="5">
        <f>S5</f>
        <v>0</v>
      </c>
      <c r="N51" s="5" t="str">
        <f>IF(K51&gt;4,"С","0")</f>
        <v>0</v>
      </c>
      <c r="O51" s="71" t="str">
        <f>IF(N51="Ш","1","0")</f>
        <v>0</v>
      </c>
      <c r="P51" s="36" t="s">
        <v>17</v>
      </c>
    </row>
    <row r="52" spans="1:20" ht="15" customHeight="1" x14ac:dyDescent="0.2">
      <c r="A52" s="585" t="s">
        <v>289</v>
      </c>
      <c r="B52" s="585"/>
      <c r="C52" s="585"/>
      <c r="D52" s="585"/>
      <c r="E52" s="585"/>
      <c r="F52" s="585" t="s">
        <v>290</v>
      </c>
      <c r="G52" s="585"/>
      <c r="H52" s="585"/>
      <c r="I52" s="35" t="s">
        <v>14</v>
      </c>
      <c r="J52" s="8"/>
      <c r="K52" s="5">
        <f>N5</f>
        <v>0</v>
      </c>
      <c r="N52" s="5" t="str">
        <f>IF(K52&gt;5,"С","0")</f>
        <v>0</v>
      </c>
      <c r="O52" s="72" t="str">
        <f>IF(N52="С","1","0")</f>
        <v>0</v>
      </c>
      <c r="P52" s="36" t="s">
        <v>19</v>
      </c>
      <c r="Q52" s="8"/>
    </row>
    <row r="53" spans="1:20" ht="15" customHeight="1" x14ac:dyDescent="0.2">
      <c r="A53" s="585" t="s">
        <v>291</v>
      </c>
      <c r="B53" s="585"/>
      <c r="C53" s="585"/>
      <c r="D53" s="585"/>
      <c r="E53" s="585"/>
      <c r="F53" s="585" t="s">
        <v>292</v>
      </c>
      <c r="G53" s="585"/>
      <c r="H53" s="585"/>
      <c r="I53" s="35" t="s">
        <v>34</v>
      </c>
      <c r="J53" s="124" t="s">
        <v>35</v>
      </c>
      <c r="K53" s="5">
        <f>IF(V20=1,T5,"0")</f>
        <v>0</v>
      </c>
      <c r="L53" s="5">
        <f>IF(V20=1,U5,"0")</f>
        <v>0</v>
      </c>
      <c r="M53" s="38"/>
      <c r="N53" s="125" t="str">
        <f>IF(K53&gt;L53,"СШИ","0")</f>
        <v>0</v>
      </c>
      <c r="O53" s="71" t="str">
        <f>IF(N53="СШИ","1","0")</f>
        <v>0</v>
      </c>
      <c r="P53" s="71" t="str">
        <f>IF(N53="СШИ","1","0")</f>
        <v>0</v>
      </c>
      <c r="Q53" s="71" t="str">
        <f>IF(N53="СШИ","1","0")</f>
        <v>0</v>
      </c>
      <c r="R53" s="36" t="s">
        <v>19</v>
      </c>
      <c r="S53" s="36" t="s">
        <v>17</v>
      </c>
      <c r="T53" s="36" t="s">
        <v>20</v>
      </c>
    </row>
    <row r="54" spans="1:20" ht="15" customHeight="1" x14ac:dyDescent="0.2">
      <c r="A54" s="585" t="s">
        <v>293</v>
      </c>
      <c r="B54" s="585"/>
      <c r="C54" s="585"/>
      <c r="D54" s="585"/>
      <c r="E54" s="585"/>
      <c r="F54" s="585" t="s">
        <v>19</v>
      </c>
      <c r="G54" s="585"/>
      <c r="H54" s="585"/>
      <c r="I54" s="122" t="s">
        <v>298</v>
      </c>
      <c r="J54" s="8"/>
      <c r="K54" s="5">
        <f>ответы!DQ18</f>
        <v>0</v>
      </c>
      <c r="N54" s="5" t="str">
        <f>IF(K54&lt;0,"С","0")</f>
        <v>0</v>
      </c>
      <c r="O54" s="128" t="str">
        <f>IF(N54="С","1","0")</f>
        <v>0</v>
      </c>
      <c r="P54" s="36" t="s">
        <v>19</v>
      </c>
      <c r="Q54" s="8"/>
    </row>
    <row r="55" spans="1:20" ht="15" customHeight="1" x14ac:dyDescent="0.2">
      <c r="A55" s="585" t="s">
        <v>294</v>
      </c>
      <c r="B55" s="585"/>
      <c r="C55" s="585"/>
      <c r="D55" s="585"/>
      <c r="E55" s="585"/>
      <c r="F55" s="585" t="s">
        <v>20</v>
      </c>
      <c r="G55" s="585"/>
      <c r="H55" s="585"/>
      <c r="I55" s="122" t="s">
        <v>298</v>
      </c>
      <c r="J55" s="8"/>
      <c r="K55" s="5">
        <f>ответы!DQ18</f>
        <v>0</v>
      </c>
      <c r="N55" s="5" t="str">
        <f>IF(K55&gt;5,"И","0")</f>
        <v>0</v>
      </c>
      <c r="O55" s="71" t="str">
        <f>IF(N55="И","1","0")</f>
        <v>0</v>
      </c>
      <c r="P55" s="36" t="s">
        <v>20</v>
      </c>
    </row>
    <row r="56" spans="1:20" ht="31.5" customHeight="1" x14ac:dyDescent="0.25">
      <c r="A56" s="589" t="s">
        <v>295</v>
      </c>
      <c r="B56" s="589"/>
      <c r="C56" s="589"/>
      <c r="D56" s="589"/>
      <c r="E56" s="589"/>
      <c r="F56" s="589"/>
      <c r="G56" s="589"/>
      <c r="H56" s="589"/>
    </row>
    <row r="57" spans="1:20" ht="15" customHeight="1" x14ac:dyDescent="0.2">
      <c r="A57" s="585" t="s">
        <v>296</v>
      </c>
      <c r="B57" s="585"/>
      <c r="C57" s="585"/>
      <c r="D57" s="585"/>
      <c r="E57" s="585"/>
      <c r="F57" s="585" t="s">
        <v>18</v>
      </c>
      <c r="G57" s="585"/>
      <c r="H57" s="585"/>
      <c r="I57" s="84" t="s">
        <v>299</v>
      </c>
      <c r="K57" s="5">
        <f>ответы!J32</f>
        <v>1</v>
      </c>
      <c r="N57" s="5" t="str">
        <f>IF(K57=1,"Э","0")</f>
        <v>Э</v>
      </c>
      <c r="O57" s="71" t="str">
        <f>IF(N57="Э","1","0")</f>
        <v>1</v>
      </c>
      <c r="P57" s="36" t="s">
        <v>18</v>
      </c>
    </row>
    <row r="58" spans="1:20" ht="15" customHeight="1" x14ac:dyDescent="0.2">
      <c r="A58" s="585" t="s">
        <v>297</v>
      </c>
      <c r="B58" s="585"/>
      <c r="C58" s="585"/>
      <c r="D58" s="585"/>
      <c r="E58" s="585"/>
      <c r="F58" s="585" t="s">
        <v>285</v>
      </c>
      <c r="G58" s="585"/>
      <c r="H58" s="585"/>
      <c r="I58" s="123" t="s">
        <v>299</v>
      </c>
      <c r="K58" s="5">
        <f>ответы!J32</f>
        <v>1</v>
      </c>
      <c r="N58" s="5" t="str">
        <f>IF(K58&gt;1,"ЭЭ","0")</f>
        <v>0</v>
      </c>
      <c r="O58" s="71" t="str">
        <f>IF(N58="ЭЭ","2","0")</f>
        <v>0</v>
      </c>
      <c r="P58" s="36" t="s">
        <v>304</v>
      </c>
    </row>
    <row r="60" spans="1:20" ht="12.75" customHeight="1" x14ac:dyDescent="0.2"/>
  </sheetData>
  <mergeCells count="42">
    <mergeCell ref="A56:H56"/>
    <mergeCell ref="A57:E57"/>
    <mergeCell ref="A58:E58"/>
    <mergeCell ref="F57:H57"/>
    <mergeCell ref="F58:H58"/>
    <mergeCell ref="F47:H47"/>
    <mergeCell ref="F53:H53"/>
    <mergeCell ref="F54:H54"/>
    <mergeCell ref="F55:H55"/>
    <mergeCell ref="F48:H48"/>
    <mergeCell ref="F49:H49"/>
    <mergeCell ref="F50:H50"/>
    <mergeCell ref="F51:H51"/>
    <mergeCell ref="F52:H52"/>
    <mergeCell ref="F42:H42"/>
    <mergeCell ref="F43:H43"/>
    <mergeCell ref="F44:H44"/>
    <mergeCell ref="F45:H45"/>
    <mergeCell ref="F46:H46"/>
    <mergeCell ref="A51:E51"/>
    <mergeCell ref="A52:E52"/>
    <mergeCell ref="A53:E53"/>
    <mergeCell ref="A54:E54"/>
    <mergeCell ref="A55:E55"/>
    <mergeCell ref="X18:X19"/>
    <mergeCell ref="A38:E38"/>
    <mergeCell ref="A39:E39"/>
    <mergeCell ref="A40:E40"/>
    <mergeCell ref="A41:E41"/>
    <mergeCell ref="F38:H38"/>
    <mergeCell ref="F39:H39"/>
    <mergeCell ref="F40:H40"/>
    <mergeCell ref="F41:H41"/>
    <mergeCell ref="A47:E47"/>
    <mergeCell ref="A48:E48"/>
    <mergeCell ref="A49:E49"/>
    <mergeCell ref="A50:E50"/>
    <mergeCell ref="A42:E42"/>
    <mergeCell ref="A43:E43"/>
    <mergeCell ref="A44:E44"/>
    <mergeCell ref="A45:E45"/>
    <mergeCell ref="A46:E46"/>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ответы</vt:lpstr>
      <vt:lpstr>правила 0-8</vt:lpstr>
      <vt:lpstr>типы</vt:lpstr>
      <vt:lpstr>Отчет</vt:lpstr>
      <vt:lpstr>диагр</vt:lpstr>
      <vt:lpstr>правила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Александр Селевин</cp:lastModifiedBy>
  <cp:lastPrinted>2024-04-18T14:20:19Z</cp:lastPrinted>
  <dcterms:created xsi:type="dcterms:W3CDTF">2024-02-09T12:16:55Z</dcterms:created>
  <dcterms:modified xsi:type="dcterms:W3CDTF">2024-04-26T08:22:46Z</dcterms:modified>
</cp:coreProperties>
</file>